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1220" windowHeight="5280" tabRatio="601" activeTab="2"/>
  </bookViews>
  <sheets>
    <sheet name="доходы" sheetId="1" r:id="rId1"/>
    <sheet name="расходы" sheetId="2" r:id="rId2"/>
    <sheet name="НФА" sheetId="3" r:id="rId3"/>
    <sheet name="ФАиО" sheetId="4" r:id="rId4"/>
    <sheet name="источ " sheetId="5" r:id="rId5"/>
    <sheet name="доходы РБ" sheetId="6" r:id="rId6"/>
  </sheets>
  <definedNames>
    <definedName name="_xlnm.Print_Titles" localSheetId="0">'доходы'!$8:$9</definedName>
    <definedName name="_xlnm.Print_Titles" localSheetId="4">'источ '!$2:$3</definedName>
    <definedName name="_xlnm.Print_Titles" localSheetId="2">'НФА'!$3:$4</definedName>
    <definedName name="_xlnm.Print_Titles" localSheetId="1">'расходы'!$2:$3</definedName>
    <definedName name="_xlnm.Print_Titles" localSheetId="3">'ФАиО'!$2:$3</definedName>
    <definedName name="_xlnm.Print_Area" localSheetId="0">'доходы'!$B$1:$Q$9</definedName>
    <definedName name="_xlnm.Print_Area" localSheetId="1">'расходы'!$B$1:$R$441</definedName>
  </definedNames>
  <calcPr fullCalcOnLoad="1"/>
</workbook>
</file>

<file path=xl/sharedStrings.xml><?xml version="1.0" encoding="utf-8"?>
<sst xmlns="http://schemas.openxmlformats.org/spreadsheetml/2006/main" count="2326" uniqueCount="578">
  <si>
    <t>701. Государственные службы общего назначения</t>
  </si>
  <si>
    <t>704. Экономические вопросы</t>
  </si>
  <si>
    <t>705. Охрана окружающей среды</t>
  </si>
  <si>
    <t>706. Жилищные и коммунальные услуги</t>
  </si>
  <si>
    <t>707. Здравоохранение</t>
  </si>
  <si>
    <t>708. Отдых, культура и религия</t>
  </si>
  <si>
    <t>709. Образование</t>
  </si>
  <si>
    <t>710. Социальная защита</t>
  </si>
  <si>
    <t>Налог на проценты</t>
  </si>
  <si>
    <t>Арендная плата</t>
  </si>
  <si>
    <t>Неналоговые доходы</t>
  </si>
  <si>
    <t>Земельный налог</t>
  </si>
  <si>
    <t>Гранты местным бюджетам</t>
  </si>
  <si>
    <t>%вып.</t>
  </si>
  <si>
    <t>Административные сборы и платежи</t>
  </si>
  <si>
    <t>Категориальные гранты</t>
  </si>
  <si>
    <t>Остатки средств на начало года</t>
  </si>
  <si>
    <t>Кыргызской Республики</t>
  </si>
  <si>
    <t xml:space="preserve">Одобрен Постановлением Правительства </t>
  </si>
  <si>
    <t>"______"____________2006г. №____________</t>
  </si>
  <si>
    <t xml:space="preserve">   Кыргызской Республики</t>
  </si>
  <si>
    <t xml:space="preserve">   бюджетной политики</t>
  </si>
  <si>
    <t xml:space="preserve">   Министр финансов</t>
  </si>
  <si>
    <t>Наименование показателей</t>
  </si>
  <si>
    <t>Плата за газ</t>
  </si>
  <si>
    <t>ИТОГО НЕФИНАНСОВЫЕ АКТИВЫ</t>
  </si>
  <si>
    <t>Плата за регистрацию и перерегистрацию транспортных средств</t>
  </si>
  <si>
    <t>Сборы с иностранных автоперевозчиков</t>
  </si>
  <si>
    <t>Единый налог для субъектов малого предпринимательства</t>
  </si>
  <si>
    <t>Налог за пользование автомобильными дорогами</t>
  </si>
  <si>
    <t>Местный бюджет</t>
  </si>
  <si>
    <t xml:space="preserve"> О Т  Ч  Е  Т</t>
  </si>
  <si>
    <t>(тыс.сом.)</t>
  </si>
  <si>
    <t>Поступления от проведения контрольно-надзорных мероприятий</t>
  </si>
  <si>
    <t>Республиканский бюджет</t>
  </si>
  <si>
    <t>Государственный бюджет</t>
  </si>
  <si>
    <r>
      <t xml:space="preserve"> </t>
    </r>
    <r>
      <rPr>
        <b/>
        <sz val="8"/>
        <rFont val="Times New Roman"/>
        <family val="1"/>
      </rPr>
      <t>Местный бюджет</t>
    </r>
  </si>
  <si>
    <t>1</t>
  </si>
  <si>
    <t>Доходы</t>
  </si>
  <si>
    <t>11</t>
  </si>
  <si>
    <t>Налоговые доходы</t>
  </si>
  <si>
    <t>111</t>
  </si>
  <si>
    <t>Налоги на доходы и прибыль</t>
  </si>
  <si>
    <t xml:space="preserve">Подоходный налог с физических лиц-резидентов Кыргызской Республики </t>
  </si>
  <si>
    <t xml:space="preserve">Налог на прибыль </t>
  </si>
  <si>
    <t>113</t>
  </si>
  <si>
    <t>Налоги на собственность</t>
  </si>
  <si>
    <t>1131</t>
  </si>
  <si>
    <t>Земельный налог за пользование сельскохозяйственными угодьями</t>
  </si>
  <si>
    <t>114</t>
  </si>
  <si>
    <t xml:space="preserve">Налоги на товары и услуги </t>
  </si>
  <si>
    <t>Налог на добавленную стоимость (НДС)</t>
  </si>
  <si>
    <t>НДС на товары и услуги, производимые на территории Кыргызской Республики</t>
  </si>
  <si>
    <t>Отчисления для предупреждения и ликвидации чрезвычайных ситуаций</t>
  </si>
  <si>
    <t>Акцизный налог</t>
  </si>
  <si>
    <t>Таможенные платежи</t>
  </si>
  <si>
    <t>Таможенные платежи с ввозимой продукции</t>
  </si>
  <si>
    <t>Таможенный платеж по единым ставкам таможенных пошлин, налогов</t>
  </si>
  <si>
    <t>Совокупный таможенный платеж</t>
  </si>
  <si>
    <t>Таможенные платежи с вывозимой продукции</t>
  </si>
  <si>
    <t xml:space="preserve">Экспортная таможенная пошлина </t>
  </si>
  <si>
    <t>Таможенные сборы</t>
  </si>
  <si>
    <t>Другие таможенные сборы и платежи</t>
  </si>
  <si>
    <t>Полученные официальные трансферты</t>
  </si>
  <si>
    <t>Трансферты из-за границы</t>
  </si>
  <si>
    <t>От правительств иностранных государств</t>
  </si>
  <si>
    <t>Текущие</t>
  </si>
  <si>
    <t>Капитальные</t>
  </si>
  <si>
    <t>От международных организаций</t>
  </si>
  <si>
    <t>Трансферты сектора государственного управления</t>
  </si>
  <si>
    <t>Выравнивающие гранты</t>
  </si>
  <si>
    <t>Стимулирующие гранты</t>
  </si>
  <si>
    <t>Доходы от собственности и проценты</t>
  </si>
  <si>
    <t>Проценты</t>
  </si>
  <si>
    <t xml:space="preserve">Проценты по депозитам </t>
  </si>
  <si>
    <t xml:space="preserve">Проценты по депозитам Правительства, находящимся в Национальном банке КР </t>
  </si>
  <si>
    <t>Курсовая прибыль/убыток</t>
  </si>
  <si>
    <t>Проценты по выданным бюджетным ссудам и кредитам</t>
  </si>
  <si>
    <t>Дивиденды и прибыль</t>
  </si>
  <si>
    <t>Дивиденды</t>
  </si>
  <si>
    <t>Дивиденды, начисленные на государственный пакет акций</t>
  </si>
  <si>
    <t>Прибыль</t>
  </si>
  <si>
    <t>Прибыль Национального банка Кыргызской Республики</t>
  </si>
  <si>
    <t>Плата за использование природных ресурсов</t>
  </si>
  <si>
    <t>Плата за аренду земель Фонда перераспределения земель</t>
  </si>
  <si>
    <t>Плата за использование лесных ресурсов</t>
  </si>
  <si>
    <t>Плата за использование водных ресурсов</t>
  </si>
  <si>
    <t>Прочие платежи за использование природных активов</t>
  </si>
  <si>
    <t>Плата за выдачу лицензий</t>
  </si>
  <si>
    <t>Плата за выдачу сертификатов и других разрешительных документов</t>
  </si>
  <si>
    <t xml:space="preserve">Плата за право осуществления лотерейной деятельности </t>
  </si>
  <si>
    <t>Государственные пошлины</t>
  </si>
  <si>
    <t>14222100</t>
  </si>
  <si>
    <t>Государственная пошлина, взимаемая органами юстиции</t>
  </si>
  <si>
    <t>14222300</t>
  </si>
  <si>
    <t>Государственная пошлина, взимаемая судебными органами</t>
  </si>
  <si>
    <t>Поступления от оказания платных услуг</t>
  </si>
  <si>
    <t>14231100</t>
  </si>
  <si>
    <t>14231200</t>
  </si>
  <si>
    <t>14231300</t>
  </si>
  <si>
    <t>14231400</t>
  </si>
  <si>
    <t>14232100</t>
  </si>
  <si>
    <t>14232200</t>
  </si>
  <si>
    <t>Плата за проведение тестирования выпусников общеобразовательных школ-претендентов на получение документов особого образца</t>
  </si>
  <si>
    <t>14232300</t>
  </si>
  <si>
    <t>Поступления от учебно-производственной деятельности учашихся, плата за проживание в общежитиях, гостиницах</t>
  </si>
  <si>
    <t>14233</t>
  </si>
  <si>
    <t>14233100</t>
  </si>
  <si>
    <t>14233200</t>
  </si>
  <si>
    <t>14233300</t>
  </si>
  <si>
    <t>14234</t>
  </si>
  <si>
    <t>14234100</t>
  </si>
  <si>
    <t>14234200</t>
  </si>
  <si>
    <t>14234300</t>
  </si>
  <si>
    <t>14235</t>
  </si>
  <si>
    <t>14235100</t>
  </si>
  <si>
    <t>14235200</t>
  </si>
  <si>
    <t>14235300</t>
  </si>
  <si>
    <t>14235400</t>
  </si>
  <si>
    <t>14235500</t>
  </si>
  <si>
    <t>14235600</t>
  </si>
  <si>
    <t>Плата за организацию и проведение обучающих программ, курсов, семинаров, конференций</t>
  </si>
  <si>
    <t>Штрафы, санкции, конфискации</t>
  </si>
  <si>
    <t>Административные штрафы</t>
  </si>
  <si>
    <t>Поступления от реализации выявленной контрабанды</t>
  </si>
  <si>
    <t>Поступления от реализации конфискованного имущества</t>
  </si>
  <si>
    <t>Возмещение причиненного ущерба по экономическим преступлениям</t>
  </si>
  <si>
    <t>Прочие неналоговые доходы</t>
  </si>
  <si>
    <t>Доходы обращенные в пользу государства</t>
  </si>
  <si>
    <t>ВСЕГО ПОСТУПЛЕНИЯ</t>
  </si>
  <si>
    <t>За счет бюджетных средств</t>
  </si>
  <si>
    <t>2111</t>
  </si>
  <si>
    <t>Заработная плата</t>
  </si>
  <si>
    <t>2121</t>
  </si>
  <si>
    <t>Взносы в Социальный фонд</t>
  </si>
  <si>
    <t>2211</t>
  </si>
  <si>
    <t>Расходы на служебные поездки</t>
  </si>
  <si>
    <t>2212</t>
  </si>
  <si>
    <t>2213</t>
  </si>
  <si>
    <t>2214</t>
  </si>
  <si>
    <t>Транспортные услуги</t>
  </si>
  <si>
    <t>2215</t>
  </si>
  <si>
    <t>2411</t>
  </si>
  <si>
    <t>Выплата процентов по кредитам и займам, полученным от иностранных государств и международных организаций</t>
  </si>
  <si>
    <t>2421</t>
  </si>
  <si>
    <t>Выплата процентов по государственным ценным бумагам</t>
  </si>
  <si>
    <t>2611</t>
  </si>
  <si>
    <t>Текущие гранты правительствам иностранных государств</t>
  </si>
  <si>
    <t>2621</t>
  </si>
  <si>
    <t>Текущие гранты международным организациям</t>
  </si>
  <si>
    <t>2631</t>
  </si>
  <si>
    <t>Текущие гранты другим единицам сектора государственного управления</t>
  </si>
  <si>
    <t>2711</t>
  </si>
  <si>
    <t>Пособия по социальному обеспечению</t>
  </si>
  <si>
    <t>2721</t>
  </si>
  <si>
    <t>Пособия по социальной помощи населению</t>
  </si>
  <si>
    <t>2821</t>
  </si>
  <si>
    <t>2822</t>
  </si>
  <si>
    <t>Капитальные различные прочие расходы</t>
  </si>
  <si>
    <t xml:space="preserve"> </t>
  </si>
  <si>
    <t>За счет специальных средств</t>
  </si>
  <si>
    <t>2511</t>
  </si>
  <si>
    <t>Субсидии нефинансовым государственным предприятиям</t>
  </si>
  <si>
    <t>2512</t>
  </si>
  <si>
    <t>Субсидии финансовым государственным предприятиям</t>
  </si>
  <si>
    <t>2521</t>
  </si>
  <si>
    <t>ИТОГО РАСХОДОВ</t>
  </si>
  <si>
    <t>Плата за электроэнергию</t>
  </si>
  <si>
    <t>Плата за теплоэнергию</t>
  </si>
  <si>
    <t>Приобретение продуктов питания</t>
  </si>
  <si>
    <t>Приобретение, пошив и ремонт предметов вещевого имущества и другого форменного и специального обмундирования</t>
  </si>
  <si>
    <t>ВСЕГО ВЫПЛАТЫ</t>
  </si>
  <si>
    <t>(1) ЧИСТЫЙ ПРИТОК ДЕНЕЖНЫХ СРЕДСТВ ОТ ОПЕРАЦИОННОЙ ДЕЯТЕЛЬНОСТИ</t>
  </si>
  <si>
    <t>3111</t>
  </si>
  <si>
    <t>Здания и сооружения</t>
  </si>
  <si>
    <t>3112</t>
  </si>
  <si>
    <t>Машины и оборудование</t>
  </si>
  <si>
    <t>3113</t>
  </si>
  <si>
    <t>Другие основные фонды</t>
  </si>
  <si>
    <t>3122</t>
  </si>
  <si>
    <t>Прочие запасы</t>
  </si>
  <si>
    <t>3141</t>
  </si>
  <si>
    <t>Земля</t>
  </si>
  <si>
    <t>3121</t>
  </si>
  <si>
    <t>Стратегические запасы</t>
  </si>
  <si>
    <t>Кредиты, ссуды и займы</t>
  </si>
  <si>
    <t xml:space="preserve">Акции и другие формы участия в капитале </t>
  </si>
  <si>
    <t xml:space="preserve">Внутренние заимствования </t>
  </si>
  <si>
    <t xml:space="preserve">Внешние заимствования  </t>
  </si>
  <si>
    <t xml:space="preserve">За счет бюджетных средств </t>
  </si>
  <si>
    <t xml:space="preserve">За счет специальных средств </t>
  </si>
  <si>
    <t>За счет специальных средств, в том числе:</t>
  </si>
  <si>
    <t>Стипендии</t>
  </si>
  <si>
    <t xml:space="preserve">- Продажа </t>
  </si>
  <si>
    <t>- Приобретение</t>
  </si>
  <si>
    <t>ИСТОЧНИКИ ПОКРЫТИЯ ДЕФИЦИТА</t>
  </si>
  <si>
    <t>ОБЩЕЕ ФИНАНСИРОВАНИЕ  (I+II)</t>
  </si>
  <si>
    <t xml:space="preserve">I. </t>
  </si>
  <si>
    <t xml:space="preserve">Внутреннее финансирование </t>
  </si>
  <si>
    <t>Акции и другие формы участия в капитале</t>
  </si>
  <si>
    <t>Выпуск</t>
  </si>
  <si>
    <t>Погашение</t>
  </si>
  <si>
    <t>Остатки бюджетных средств на начало года</t>
  </si>
  <si>
    <t>Остатки специальных средств на начало года</t>
  </si>
  <si>
    <t xml:space="preserve">II. </t>
  </si>
  <si>
    <t>Справочно:</t>
  </si>
  <si>
    <t>Остатки средств на конец отчетного периода</t>
  </si>
  <si>
    <t>Остатки бюджетных средств на конец отчетного периода</t>
  </si>
  <si>
    <t>Остатки специальных средств на конец отчетного периода</t>
  </si>
  <si>
    <t>ФИНАНСОВЫЕ АКТИВЫ  (Чистое приобретение ФА)</t>
  </si>
  <si>
    <t>- Продажа (погашение)</t>
  </si>
  <si>
    <t>- Приобретение (выпуск)</t>
  </si>
  <si>
    <t xml:space="preserve">- Приобретение </t>
  </si>
  <si>
    <t>Внутренние финансовые активы</t>
  </si>
  <si>
    <t>ОБЯЗАТЕЛЬСТВА (Чистое принятие обязательств)</t>
  </si>
  <si>
    <t>Внутренние обязательства</t>
  </si>
  <si>
    <t>- Принятие (увеличение)</t>
  </si>
  <si>
    <t xml:space="preserve">- Погашение (уменьшение) </t>
  </si>
  <si>
    <t>Внешние обязательства</t>
  </si>
  <si>
    <t xml:space="preserve">(5) ЧИСТОЕ ИЗМЕНЕНИЕ В ЗАПАСАХ ДЕНЕЖНЫХ СРЕДСТВ  </t>
  </si>
  <si>
    <t xml:space="preserve">(4) ЧИСТЫЙ ПРИТОК ДЕНЕЖНЫХ СРЕДСТВ ОТ ОПЕРАЦИЙ ПО ФИНАНСИРОВАНИЮ                                                                </t>
  </si>
  <si>
    <t>(2) ЧИСТЫЙ ОТТОК ДЕНЕЖНЫХ СРЕДСТВ В РЕЗУЛЬТАТЕ ВЛОЖЕНИЙ В НЕФИНАНСОВЫЕ АКТИВЫ</t>
  </si>
  <si>
    <t xml:space="preserve">(3) ПРОФИЦИТ / ДЕФИЦИТ ДЕНЕЖНЫХ СРЕДСТВ   </t>
  </si>
  <si>
    <t>/ПОТОКИ ДЕНЕЖНЫХ СРЕДСТВ В СВЯЗИ С ВЛОЖЕНИЯМИ В НЕФИНАНСОВЫЕ АКТИВЫ/</t>
  </si>
  <si>
    <t>/ПОТОКИ ДЕНЕЖНЫХ СРЕДСТВ В СВЯЗИ С ОПЕРАЦИЯМИ ПО ФИНАНСИРОВАНИЮ/</t>
  </si>
  <si>
    <t>О П Е Р А Ц И И   С   А К Т И В А М И   И   О Б Я З А Т Е Л Ь С Т В А М И</t>
  </si>
  <si>
    <t>№</t>
  </si>
  <si>
    <t>Внутренние заимствования</t>
  </si>
  <si>
    <t>Внешние заимствования</t>
  </si>
  <si>
    <t>Внешнее финансирование</t>
  </si>
  <si>
    <t>Доходы (без учета полученных официальных трансфертов)</t>
  </si>
  <si>
    <t xml:space="preserve">Продажа </t>
  </si>
  <si>
    <t xml:space="preserve">Приобретение </t>
  </si>
  <si>
    <t xml:space="preserve">Получение </t>
  </si>
  <si>
    <t xml:space="preserve">Погашение </t>
  </si>
  <si>
    <t xml:space="preserve">Налог на доходы лиц-нерезидентов Кыргызской Республики </t>
  </si>
  <si>
    <t xml:space="preserve">Поступления по единому налогу </t>
  </si>
  <si>
    <t>Налог на недвижимое имущестов</t>
  </si>
  <si>
    <t>Общие налоги на товары и услуги</t>
  </si>
  <si>
    <t>Алкогольная продукция</t>
  </si>
  <si>
    <t>Водка и ликероводочные изделия</t>
  </si>
  <si>
    <t>Крепленные напитки, крепленные соки и бальзамы</t>
  </si>
  <si>
    <t>Вина</t>
  </si>
  <si>
    <t>Коньяки</t>
  </si>
  <si>
    <t>Пиво расфасованное</t>
  </si>
  <si>
    <t>Пиво нефасованное</t>
  </si>
  <si>
    <t>Виноматериалы</t>
  </si>
  <si>
    <t>Табачные изделия</t>
  </si>
  <si>
    <t>Табачные изделия с фильтром</t>
  </si>
  <si>
    <t>Табачные изделия без фильтра</t>
  </si>
  <si>
    <t>Сигары исигариллы</t>
  </si>
  <si>
    <t>Прочие изделия, содержащие табак, кроме табака ферментированного</t>
  </si>
  <si>
    <t>Нефтепродукты</t>
  </si>
  <si>
    <t>Бензин, легкие и средние дистилляты и прочие бензины</t>
  </si>
  <si>
    <t>Топливо реактивное</t>
  </si>
  <si>
    <t>Дизельное топливо</t>
  </si>
  <si>
    <t>Мазут</t>
  </si>
  <si>
    <t>Масла и газоконденсат</t>
  </si>
  <si>
    <t>Нефть сырая и нефтепродукты сырые, полученные из битумозных материалов</t>
  </si>
  <si>
    <t>Ювелирные изделия из золота, платины или серебра</t>
  </si>
  <si>
    <t>Бонусы</t>
  </si>
  <si>
    <t>Горячие полезные ископаемые</t>
  </si>
  <si>
    <t xml:space="preserve">Нефть  </t>
  </si>
  <si>
    <t>Газы горючие</t>
  </si>
  <si>
    <t>Уголь</t>
  </si>
  <si>
    <t>Прочие горючие полезные ископаемые</t>
  </si>
  <si>
    <t>Металлические полезные ископаемые</t>
  </si>
  <si>
    <t>Благородные металлы</t>
  </si>
  <si>
    <t>Ртуть</t>
  </si>
  <si>
    <t>Сурьма</t>
  </si>
  <si>
    <t>Олово, вольфрам</t>
  </si>
  <si>
    <t>Прочие металлы, не классифицированные выше</t>
  </si>
  <si>
    <t>Неметаллические полезные ископаемые</t>
  </si>
  <si>
    <t>Облицовочные камни</t>
  </si>
  <si>
    <t>Известняк, строительный камень</t>
  </si>
  <si>
    <t>Цветные камни (самосветы)</t>
  </si>
  <si>
    <t>Прочие неметаллы, не классифицированные выше</t>
  </si>
  <si>
    <t>Подземные воды</t>
  </si>
  <si>
    <t>Прочие подземные воды</t>
  </si>
  <si>
    <t>Роялти</t>
  </si>
  <si>
    <t>Горючие полезные ископаемые</t>
  </si>
  <si>
    <t>Плата за аренду прочего имущества</t>
  </si>
  <si>
    <t>Плата за оказание дополнительных услуг дошкольными и школьными учреждениями</t>
  </si>
  <si>
    <t>Текущая помощь</t>
  </si>
  <si>
    <t>Капитальная помощь</t>
  </si>
  <si>
    <t>2216</t>
  </si>
  <si>
    <t>2217</t>
  </si>
  <si>
    <t>2218</t>
  </si>
  <si>
    <t>2422</t>
  </si>
  <si>
    <t>Погашение задолженности населению по индексированным суммам</t>
  </si>
  <si>
    <t>Расходы, представленные единой статьей в ситеме здравоохранения (ЕП)</t>
  </si>
  <si>
    <t>2431</t>
  </si>
  <si>
    <t>Выплаты процентов другим единицам сетора госуправления</t>
  </si>
  <si>
    <t>2522</t>
  </si>
  <si>
    <t>Субсидии финансовым частным предприятиям</t>
  </si>
  <si>
    <t>2612</t>
  </si>
  <si>
    <t>Капитальные гранты правительствам иностранных государств</t>
  </si>
  <si>
    <t>2622</t>
  </si>
  <si>
    <t>Капитальные гранты международным организациям</t>
  </si>
  <si>
    <t>2632</t>
  </si>
  <si>
    <t>Капитальные гранты другим единицам сектора государственного управления</t>
  </si>
  <si>
    <t>3131</t>
  </si>
  <si>
    <t>Драгоценные металлы и камни</t>
  </si>
  <si>
    <t>3132</t>
  </si>
  <si>
    <t>Активы культурного наследия</t>
  </si>
  <si>
    <t>3133</t>
  </si>
  <si>
    <t>Ювелирные изделия</t>
  </si>
  <si>
    <t>3317</t>
  </si>
  <si>
    <t>3215</t>
  </si>
  <si>
    <t>Прочая внутренняя кредиторская задолженность</t>
  </si>
  <si>
    <t xml:space="preserve">   Заместитель министра -</t>
  </si>
  <si>
    <t xml:space="preserve">   Директор Центрального казначейства</t>
  </si>
  <si>
    <t>Подоходный налог, уплачиваемый налоговым агентом</t>
  </si>
  <si>
    <t>Подоходный налог по единой налоговой декларации</t>
  </si>
  <si>
    <t>Налоги по специальным режимам</t>
  </si>
  <si>
    <t>Налог на основе патента</t>
  </si>
  <si>
    <t>Налоги на основе обязательного патента</t>
  </si>
  <si>
    <t>Налоги на основе добровольного патента</t>
  </si>
  <si>
    <t>Налог на специальные средства бюджетных организаций</t>
  </si>
  <si>
    <t>Налог на имущество</t>
  </si>
  <si>
    <t>Налог на недвижимое имущество не используемое для осуществления предпринимательской деятельности</t>
  </si>
  <si>
    <t>Налог на движимое имущество</t>
  </si>
  <si>
    <t>Налог на транспортные средства юридических лиц</t>
  </si>
  <si>
    <t>Налог на транспортные средства физических лиц</t>
  </si>
  <si>
    <t>Земельный налог за пользование приусадебными и садово-огородными земельными участками</t>
  </si>
  <si>
    <t>Земельный налог за использование земель населенных пунктов и земель несельскохозяйственного назначения</t>
  </si>
  <si>
    <t>Налог с продаж</t>
  </si>
  <si>
    <t xml:space="preserve">Акцизный налог на товары, производимые или реализуемые на территории КР </t>
  </si>
  <si>
    <t>Спирт этиловый</t>
  </si>
  <si>
    <t>Вино игристое, включая шампанское</t>
  </si>
  <si>
    <t>Прочие подакцизные товары</t>
  </si>
  <si>
    <t xml:space="preserve">Спирт этиловый </t>
  </si>
  <si>
    <t>Налоги за пользование недрами</t>
  </si>
  <si>
    <t>Песок строительный</t>
  </si>
  <si>
    <t>Гипс</t>
  </si>
  <si>
    <t>Минеральные и пресные воды для розлива в качестве питьевой воды</t>
  </si>
  <si>
    <t>Минеральные воды для бальнолечения</t>
  </si>
  <si>
    <t>Термальные воды для отопления</t>
  </si>
  <si>
    <t>Воды питьевые и технические</t>
  </si>
  <si>
    <t xml:space="preserve">Песок строительный </t>
  </si>
  <si>
    <t>Прочие налоги и сборы</t>
  </si>
  <si>
    <t>Средства, передаваемые по взаимным расчетам</t>
  </si>
  <si>
    <t>Средства, передаваемые по взаимным расчетам из местного бюджета</t>
  </si>
  <si>
    <t>Плата за аренду земли в населенных пунктах</t>
  </si>
  <si>
    <t>Плата за аренду присельных пастбищ</t>
  </si>
  <si>
    <t>Плата за аренду пастбищ зоны интенсивного использования</t>
  </si>
  <si>
    <t>Плата за аренду отгонных пастбищ</t>
  </si>
  <si>
    <t>Плата за аренду имущества</t>
  </si>
  <si>
    <t>Плата за аренду помещений, зданий и сооружений, находящихся в государственной собственности</t>
  </si>
  <si>
    <t>Плата за аренду помещений, зданий и сооружений, находящихся в муниципальной собственности</t>
  </si>
  <si>
    <t>Сбор за вывоз мусора</t>
  </si>
  <si>
    <t>Сбор за парковку автотранспорта</t>
  </si>
  <si>
    <t>Прочая государственная пошлина</t>
  </si>
  <si>
    <t>Налоги не распределяемые по категориям</t>
  </si>
  <si>
    <t>Налог на валовый доход Кумтор</t>
  </si>
  <si>
    <t>всего ГНС</t>
  </si>
  <si>
    <t>в т.ч. ГНС</t>
  </si>
  <si>
    <t>в т.ч. ГТС</t>
  </si>
  <si>
    <t>в т.ч. неналоговые поступления ГНС</t>
  </si>
  <si>
    <t>Прибыль государственных предприятий</t>
  </si>
  <si>
    <t>Сооплата за оказание услуг в сфере здравоохранения</t>
  </si>
  <si>
    <t>Сборы за таможенное оформление</t>
  </si>
  <si>
    <t xml:space="preserve">Плата за прохождение альтернативной службы и призывного мобилизационного резерва </t>
  </si>
  <si>
    <t>Налог на специальные средства бюджетных организаций финансируемых из республиканского бюджета</t>
  </si>
  <si>
    <t>Налог на специальные средства бюджетных организаций финансируемых из местного бюджета</t>
  </si>
  <si>
    <t>Налог на недвижимое имущество используемое для осуществления предпринимательской деятельности 2 группы</t>
  </si>
  <si>
    <t>Налог на недвижимое имущество используемое для осуществления предпринимательской деятельности 3 группы</t>
  </si>
  <si>
    <t>Налог на доходы золотодобывающих компаний</t>
  </si>
  <si>
    <t>Средства, передаваемые по взаимным расчетам на повышение заработной платы</t>
  </si>
  <si>
    <t>Средства, передаваемые по взаимным расчетам на питание школьников 1-4 классов</t>
  </si>
  <si>
    <t>Прочие средства, передаваемые по взаимным расчетам из республиканского бюджета</t>
  </si>
  <si>
    <t>Плата за удержание лицензии на право пользования недрами</t>
  </si>
  <si>
    <t>Административные сборы, платежи и государственные услуги</t>
  </si>
  <si>
    <t>Государственная пошлина, взимаемая регистрационными органами</t>
  </si>
  <si>
    <t>Государственная пошлина, взимаемая за совершение нотариальных действий при декларировании</t>
  </si>
  <si>
    <t>Медицинские услуги</t>
  </si>
  <si>
    <t>Плата за оказание консультативно-диагностической помощи на амбулаторном уровне</t>
  </si>
  <si>
    <t>Плата за проведение лечебных мероприятий на амбулаторном уровне</t>
  </si>
  <si>
    <t>Плата за оказание медицинской помощи в стационарозамещающих отделениях</t>
  </si>
  <si>
    <t>Плата за оказание медицинской помощи в специализированных стационарах</t>
  </si>
  <si>
    <t>Плата за оказание стоматологической помощи</t>
  </si>
  <si>
    <t>Плата за проведение дезинсекционных, дезинфекционных и дератизационных мероприятий</t>
  </si>
  <si>
    <t>Плата за оказание высокотехнологичных видов медицинской помощи (сверх установленной квоты)</t>
  </si>
  <si>
    <t xml:space="preserve">Плата за неклассифицированные медицинские услуги    </t>
  </si>
  <si>
    <t xml:space="preserve">Образовательные и культурные услуги </t>
  </si>
  <si>
    <t>Плата за предоставление образования в учебных заведениях (ВУЗ, ПТУ, СУЗ)</t>
  </si>
  <si>
    <t>Плата за предоставление довузовского, послевузовского и дополнительного образования</t>
  </si>
  <si>
    <t>Плата за показ театральных постановок</t>
  </si>
  <si>
    <t>Плата за предоставление залов и помещений, а также оборудования, инвентаря учреждений культуры</t>
  </si>
  <si>
    <t xml:space="preserve">Плата за неклассифицированные  образовательные и культурные  услуги </t>
  </si>
  <si>
    <t>Социальные услуги</t>
  </si>
  <si>
    <t xml:space="preserve">Плата за содействие в трудоустройстве за рубежом </t>
  </si>
  <si>
    <t>Плата за выдачу разрешения на привлечение иностранной рабочей силы и разрешения на работу</t>
  </si>
  <si>
    <t>Плата за публикацию научных статей в Интернет-журнале</t>
  </si>
  <si>
    <t>Плата за предоставление комнат для свиданий</t>
  </si>
  <si>
    <t xml:space="preserve">Плата за неклассифицированные социальные услуги  </t>
  </si>
  <si>
    <t>Плата за выдачу сертификата соответствия на оборудование и услуги связи</t>
  </si>
  <si>
    <t>Плата за выдачу дубликатов военно-учетных документов военнообязанным, военнослужащим срочной и контрактной служб</t>
  </si>
  <si>
    <t>Плата за выдачу диплома/аттестата, нострификация документов о присуждении ученых степеней и присвоении ученых званий</t>
  </si>
  <si>
    <t>Плата за выдачу справок, удостоверений, дубликатов, доверенности и полиса</t>
  </si>
  <si>
    <t>Плата за потверждение компетентности лабораторий, органов по сертификации продукции, персонала и так далее</t>
  </si>
  <si>
    <t>Плата за предоставлению сертификатов</t>
  </si>
  <si>
    <t xml:space="preserve">Плата за неклассифицированные усулги по регистрации, выдаче справок, удостоверений и другие </t>
  </si>
  <si>
    <t>Услуги по исследованию, анализу, оценке и экспертизе</t>
  </si>
  <si>
    <t>Плата за опробирование и клеймение ювелирных и других бытовых изделий из драгоценных металлов</t>
  </si>
  <si>
    <t xml:space="preserve">Плата за проведение внеплановых работ </t>
  </si>
  <si>
    <t>Плата за проведение экспертизы и исследований</t>
  </si>
  <si>
    <t>Плата за проведение тестирования и оценки знаний</t>
  </si>
  <si>
    <t>Плата за проведение анализа и обследования</t>
  </si>
  <si>
    <t>Плата за ветеринарный и клинический осмотр</t>
  </si>
  <si>
    <t>Предоставление информации и услуги печати</t>
  </si>
  <si>
    <t>Плата за предоставление информации по авторефератам диссертаций и диссертациям</t>
  </si>
  <si>
    <t>Плата за проведение статистических наблюдений, предоставление статистической информации</t>
  </si>
  <si>
    <t>Плата за проведение поиска, подбора и предоставление информации</t>
  </si>
  <si>
    <t>Плата за организацию, проведение различных мероприятий</t>
  </si>
  <si>
    <t>Плата за выдачу документов во временное пользование</t>
  </si>
  <si>
    <t>Плата за оформление документов и документирование граждан</t>
  </si>
  <si>
    <t xml:space="preserve">Плата за неклассифицированные услуги по предоставлению информации и печати  </t>
  </si>
  <si>
    <t>Обеспечение безопасности и хранения</t>
  </si>
  <si>
    <t>Плата за химическую и биологическую обработку против вредителей</t>
  </si>
  <si>
    <t>Плата за обеззараживание подкарантинных продуктов, средств и помещений</t>
  </si>
  <si>
    <t>Плата за содержание животных в карантинном изоляторе</t>
  </si>
  <si>
    <t>Плата за таможенную сопровождение товаров и транспортных средств</t>
  </si>
  <si>
    <t xml:space="preserve">Плата за подготовку, прием и хранение документов </t>
  </si>
  <si>
    <t>Плата за охрану и обеспечение безопасности объектов по договорам</t>
  </si>
  <si>
    <t>Плата за сопроводжение легковоспламеняющихся, сильно действующих, ядовитых веществ</t>
  </si>
  <si>
    <t xml:space="preserve">Плата за неклассифицированные услуги по обеспечению безопасности и хранения  </t>
  </si>
  <si>
    <t>Другие виды услуг</t>
  </si>
  <si>
    <t>Плата за поставку воды водопользователям</t>
  </si>
  <si>
    <t>Плата за посещение объектов особо охраняемых природных территорий</t>
  </si>
  <si>
    <t>Плата за реализации древесины и посадочного материала</t>
  </si>
  <si>
    <t>Плата за классификацию темы по международной патентной классификации</t>
  </si>
  <si>
    <t>Плата за индексирование авторефератов диссертаций</t>
  </si>
  <si>
    <t>Плата за разработку карты схемы для установки и эксплуатации садковых сооружений</t>
  </si>
  <si>
    <t>Плата за организацию и проведение подводно-технических, водолазных работ и дайвинга</t>
  </si>
  <si>
    <t xml:space="preserve">Плата за неклассифицированные другие виды услуг </t>
  </si>
  <si>
    <t>Прочие поступления</t>
  </si>
  <si>
    <t>Отчисления взимаемые сверх цены продажи при приватизации</t>
  </si>
  <si>
    <t>Отчисления при разбронировании госматрезервов</t>
  </si>
  <si>
    <t>Отчисления по ранее выданным бюджетным ссудам</t>
  </si>
  <si>
    <t>Административные штрафы, санкции, конфискации</t>
  </si>
  <si>
    <t>Отчисления на развитие и содержание инфраструктуры местного значения</t>
  </si>
  <si>
    <t xml:space="preserve">Плата за неклассифицированные услуги по исследованию, анализу, оценке и экспертизе </t>
  </si>
  <si>
    <t>Услуги связи</t>
  </si>
  <si>
    <t>Приобретение прочих товаров и услуг</t>
  </si>
  <si>
    <t>2221</t>
  </si>
  <si>
    <t>Расходы на текущий ремонт имущества</t>
  </si>
  <si>
    <t>2222</t>
  </si>
  <si>
    <t>Приобретение предметов и материалов для текущих хозяйственных целей</t>
  </si>
  <si>
    <t>2223</t>
  </si>
  <si>
    <t>2224</t>
  </si>
  <si>
    <t>Приобретение угля и других видов топлива</t>
  </si>
  <si>
    <t>2225</t>
  </si>
  <si>
    <t>Приобретение услуг охраны</t>
  </si>
  <si>
    <t>2226</t>
  </si>
  <si>
    <t>Расходы на оплату услуг банков и услуг по выпуску размещению и погашению государственных ценных бумаг</t>
  </si>
  <si>
    <t>2231</t>
  </si>
  <si>
    <t>2232</t>
  </si>
  <si>
    <t>2233</t>
  </si>
  <si>
    <t>2234</t>
  </si>
  <si>
    <t>2235</t>
  </si>
  <si>
    <t>Плата за прочие коммунальные услуги</t>
  </si>
  <si>
    <t xml:space="preserve">Субсидии нефинансовым частным предприятиям и предпринимателям </t>
  </si>
  <si>
    <t>2823</t>
  </si>
  <si>
    <t>Исполнение решений суда</t>
  </si>
  <si>
    <t>2824</t>
  </si>
  <si>
    <t>Резервные фонды</t>
  </si>
  <si>
    <t>НДС на товары, ввозимые на территорию Кыргызской Республики до присоединения к ЕАЭС</t>
  </si>
  <si>
    <t>НДС на товары, ввозимые на территорию Кыргызской Республики из государств-членов ЕАЭС</t>
  </si>
  <si>
    <t>НДС на товары, ввозимые на территорию Кыргызской Республики из третьих стран</t>
  </si>
  <si>
    <t>Акцизный налог на товары, ввозимые на территорию Кыргызской Республики  до присоединения к ЕАЭС</t>
  </si>
  <si>
    <t>Акцизный налог на товары, ввозимые на территорию Кыргызской Республики от государств-членов ЕАЭС</t>
  </si>
  <si>
    <t>Акцизный налог на товары, ввозимые на территорию Кыргызской Республики из третьих стран</t>
  </si>
  <si>
    <t>Ввозные таможенные пошлины, подлежащие уплате до присоединения Кыргызской Республики к ЕАЭС</t>
  </si>
  <si>
    <t>Специальные, антидемпинговые и компенсационные пошлины уплаченные и зачисленные в соответствии с Договором о присоединении к ЕАЭС</t>
  </si>
  <si>
    <t>Специальные, антидемпинговые и компенсационные пошлины подлежащие уплате до  присоединения Кыргызской Республики  к ЕАЭС</t>
  </si>
  <si>
    <t>Ввозные таможенные пошлины, уплаченные по ставкам ЕТТ и зачисленные в соответствии с Договором о присоединении к ЕАЭС</t>
  </si>
  <si>
    <t xml:space="preserve">Экспортная сезонная таможенная пошлина </t>
  </si>
  <si>
    <t xml:space="preserve">Распределенные  ввозные таможенные пошлины, перечисленные на счета в иностранной валюте других государств-членов ЕАЭС приостановлено </t>
  </si>
  <si>
    <t>Распределенные  ввозные таможенные пошлины, перечисление  которых на счета в иностранной валюте Республики Казахстан приостановлено</t>
  </si>
  <si>
    <t>Распределенные  ввозные таможенные пошлины, перечисление  которых на счета в иностранной валюте Республики Беларусь приостановлено</t>
  </si>
  <si>
    <t>Распределенные  ввозные таможенные пошлины, перечисление  которых на счета в иностранной валюте Российской Федерации приостановлено</t>
  </si>
  <si>
    <t>Распределенные  ввозные таможенные пошлины, перечисление  которых на счета в иностранной валюте Республики Армения приостановлено</t>
  </si>
  <si>
    <t>Распределенные  ввозные таможенные пошлины, перечисленные на счета в иностранной валюте других государств-членов ЕАЭС</t>
  </si>
  <si>
    <t xml:space="preserve">Распределенные  ввозные таможенные пошлины, перечисленные на счет в иностранной валюте Республики Казахстан </t>
  </si>
  <si>
    <t>Распределенные  ввозные таможенные пошлины, перечисленные на счет в иностранной валюте Республики Беларусь</t>
  </si>
  <si>
    <t>Распределенные  ввозные таможенные пошлины, перечисленные на счет в иностранной валюте Республики Российской Федерации</t>
  </si>
  <si>
    <t>Распределенные  ввозные таможенные пошлины, перечисленные на счет в иностранной валюте Республики Армения</t>
  </si>
  <si>
    <t>Распределенные  ввозные таможенные пошлины, перечисленные на счет Кыргызской Республики</t>
  </si>
  <si>
    <t>Специальные, антидемпинговые и компенсационные пошлины, перечисленные на счет в иностранной валюте Республики Казахстан</t>
  </si>
  <si>
    <t>Специальные, антидемпинговые и компенсационные пошлины, перечисленные на счет в иностранной валюте Республики Беларусь</t>
  </si>
  <si>
    <t>Специальные, антидемпинговые и компенсационные пошлины, перечисленные на счет в иностранной валюте Республики Российской Федерации</t>
  </si>
  <si>
    <t>Специальные, антидемпинговые и компенсационные пошлины, перечисленные на счет в иностранной валюте Республики Армения</t>
  </si>
  <si>
    <t>Специальные, антидемпинговые и компенсационные пошлины, перечисленные на счет Кыргызской Республики</t>
  </si>
  <si>
    <t>Невыясненные суммы, поступившие на счет казначейства</t>
  </si>
  <si>
    <t>Ввозные таможенные пошлины</t>
  </si>
  <si>
    <t>Ввозные таможенные пошлины, поступающие от государств-членов в соответствии с Договором о присоединении к ЕАЭС</t>
  </si>
  <si>
    <t>Ввозные таможенные пошлины, поступающие от Республики Казахстан</t>
  </si>
  <si>
    <t>Ввозные таможенные пошлины, поступающие от Республики Беларусь</t>
  </si>
  <si>
    <t>Ввозные таможенные пошлины, поступающие от Российской Федерации</t>
  </si>
  <si>
    <t>Ввозные таможенные пошлины, поступающие от Республики Армения</t>
  </si>
  <si>
    <t>Проценты, поступившие за несвоевременное исполнение обязательств государств-членов по перечислению сумм от распределения ввозных таможенных пошлин</t>
  </si>
  <si>
    <t>Проценты, поступившие за несвоевременное исполнение обязательств Республикой Казахстан по перечислению сумм от распределения ввозных таможенных пошлин</t>
  </si>
  <si>
    <t>Проценты, поступившие за несвоевременное исполнение обязательств Республикой Беларусь по перечислению сумм от распределения ввозных таможенных пошлин</t>
  </si>
  <si>
    <t>Проценты, поступившие за несвоевременное исполнение обязательств Российской Федерации по перечислению сумм от распределения ввозных таможенных пошлин</t>
  </si>
  <si>
    <t>Проценты, поступившие за несвоевременное исполнение обязательств Республикой Армения по перечислению сумм от распределения ввозных таможенных пошлин</t>
  </si>
  <si>
    <t xml:space="preserve">Денежные средства, взысканные за счет обеспечения уплаты таможенных  пошлин, налогов, предоставленного таможенным органам, при перевозке товаров в соответствии с таможенной процедурой таможенного транзита по таможенной территории ЕАЭС  </t>
  </si>
  <si>
    <t xml:space="preserve">Денежные средства, взысканные за счет обеспечения уплаты таможенных пошлин и  налогов, поступившие от Республики Казахстан </t>
  </si>
  <si>
    <t>Денежные средства, взысканные за счет обеспечения уплаты таможенных пошлин и  налогов, поступившие от Республики Беларусь</t>
  </si>
  <si>
    <t>Денежные средства, взысканные за счет обеспечения уплаты таможенных пошлин и  налогов, поступившие от Российской Федерации</t>
  </si>
  <si>
    <t>Денежные средства, взысканные за счет обеспечения уплаты таможенных пошлин и  налогов, поступившие от Республики Армения</t>
  </si>
  <si>
    <t>Специальные, антидемпинговые и компенсационные пошлины, уплаченные в ссответствии с соглашениями о применении специальных защитных, антидемпинговых и компенсационных мер по отношению к третьим странам</t>
  </si>
  <si>
    <t>Специальные, антидемпинговые и компенсационные пошлины, поступившие от Республики Казахстан</t>
  </si>
  <si>
    <t>Специальные, антидемпинговые и компенсационные пошлины, поступившие от Республики Беларусь</t>
  </si>
  <si>
    <t>Специальные, антидемпинговые и компенсационные пошлины, поступившие от Российской Федерации</t>
  </si>
  <si>
    <t>Специальные, антидемпинговые и компенсационные пошлины, поступившие от Республики Армения</t>
  </si>
  <si>
    <t>Прочие налоги и сборы республиканского бюджета</t>
  </si>
  <si>
    <t>Прочие налоги и сборы местного бюджета</t>
  </si>
  <si>
    <t>Добровольные трансферты и гранты единицам государственного сектора</t>
  </si>
  <si>
    <t>Приобретение медицинских товаров и услуг</t>
  </si>
  <si>
    <t>3214</t>
  </si>
  <si>
    <t>Сигары и сигариллы</t>
  </si>
  <si>
    <t>Взносы/отчисления на социальные нужды</t>
  </si>
  <si>
    <t>Другие взносы/отчисления на социальные нужды</t>
  </si>
  <si>
    <t>Другие взносы/отчисления</t>
  </si>
  <si>
    <t>в т.ч. поступления специальных средств бюджетных учрежджений</t>
  </si>
  <si>
    <t>Плата за право разведки, разработки и /или использования месторождений полезных ископаемых или ископаемого топлива</t>
  </si>
  <si>
    <t>Плата за аренду нематериальных активов</t>
  </si>
  <si>
    <t>Поступления от проведения конкурса на право пользования полос радиочастотного спектра</t>
  </si>
  <si>
    <t>Платежи</t>
  </si>
  <si>
    <t>Плата на развитие отрасли связи</t>
  </si>
  <si>
    <t>Плата за подбор, выдачу, продление и использование номиналов и/или полос РЧС</t>
  </si>
  <si>
    <t xml:space="preserve">Прочие платежи </t>
  </si>
  <si>
    <t>Сборы</t>
  </si>
  <si>
    <t xml:space="preserve"> Сборы за предоставление допуска автомототранспорта и водителей к участию в дорожном движении</t>
  </si>
  <si>
    <t>Услуги регистрации, выдачи справок, удостоверений и других документов</t>
  </si>
  <si>
    <t>Плата за государственную регистрации</t>
  </si>
  <si>
    <t xml:space="preserve">Плата за оказание межведомственных услуг, предоставляемых на договорной основе государственными и муниципальными учреждениями </t>
  </si>
  <si>
    <t>Отчисления выше/ниже  стоящих учреждений</t>
  </si>
  <si>
    <t>Прочие поступления, отнесенные к категории государственных и муниципальных услуг</t>
  </si>
  <si>
    <t>Плата по возмещению экологического ущерба</t>
  </si>
  <si>
    <t>Проценты, поступившие за несвоевременное исполнение обязательств государств-членов по перечислению сумм от распределения  специальных, антидемпинговых и компенсационных пошлин</t>
  </si>
  <si>
    <t>Проценты, поступившие за несвоевременное исполнение обязательств Российской Федерации по перечислению сумм от распределения  специальных, антидемпинговых и компенсационных пошлин</t>
  </si>
  <si>
    <t xml:space="preserve">Коммунальные услуги  </t>
  </si>
  <si>
    <t>Расходы, представленные единой статьей в системе здравоохранения (ЕП)</t>
  </si>
  <si>
    <t>Государственные ценные бумаги, кроме акций</t>
  </si>
  <si>
    <t>Государственные ценные бумаги, кроме акций (обязательства)</t>
  </si>
  <si>
    <t>Внутренние финансовые активы  (За счет специальных средств)</t>
  </si>
  <si>
    <t xml:space="preserve">Кредиты, ссуды и займы </t>
  </si>
  <si>
    <t>3217</t>
  </si>
  <si>
    <t>Прочая внутренняя дебиторская задолженность</t>
  </si>
  <si>
    <t>А.Касымалиев</t>
  </si>
  <si>
    <t>А.Бакетаев</t>
  </si>
  <si>
    <t xml:space="preserve">   Начальник управления </t>
  </si>
  <si>
    <t>К.Асангулов</t>
  </si>
  <si>
    <t>Признание</t>
  </si>
  <si>
    <t>- Приобретение (признание)</t>
  </si>
  <si>
    <t xml:space="preserve">об исполнении Государственного бюджета Кыргызской Республики за 2017 год </t>
  </si>
  <si>
    <t>об исполнении республиканского бюджета за 2017 год</t>
  </si>
  <si>
    <t>Утвержденный план</t>
  </si>
  <si>
    <t>Уточненный план</t>
  </si>
  <si>
    <t>Факт</t>
  </si>
  <si>
    <t>Откл.(+-)</t>
  </si>
  <si>
    <t>Д О Х О Д Ы /ПОСТУПЛЕНИЕ ДЕНЕЖНЫХ СРЕДСТВ ОТ ОПЕРАЦИОННОЙ ДЕЯТЕЛЬНОСТИ/</t>
  </si>
  <si>
    <t>Коды класси-фикации доходов</t>
  </si>
  <si>
    <t>Откл.</t>
  </si>
  <si>
    <t xml:space="preserve">Коды эконом. классиф. расходов </t>
  </si>
  <si>
    <t xml:space="preserve"> Р А С Х О Д Ы /ВЫПЛАТЫ ДЕНЕЖНЫХ СРЕДСТВ ДЛЯ ПРОВЕДЕНИЯ ОПЕРАЦИОННОЙ ДЕЯТЕЛЬНОСТИ/</t>
  </si>
  <si>
    <t>Коды классиф. операций с актив. и обязат.</t>
  </si>
  <si>
    <t>Налоги на международную торговлю и внешние операции</t>
  </si>
  <si>
    <t xml:space="preserve">Специальные, антидемпинговые и компенсационные пошлины, перечисленные на счета в иностранной валюте в соответствии с Протоколом о применении специальных защитных, антидемпинговых и компенсационных мер по отношению к третьим странам </t>
  </si>
  <si>
    <t>Арендная плата и плата за разработку и использование ресурсов</t>
  </si>
  <si>
    <t>Плата за пользование пастбищными угодьями</t>
  </si>
  <si>
    <t>Плата за изготовление и предосталение протезно-ортопедических изделий</t>
  </si>
  <si>
    <t>Расходы, представленные единой статьей в системе высшего профессионального образования</t>
  </si>
  <si>
    <t>2219</t>
  </si>
  <si>
    <t>Плата за право разработки месторождений полезных ископаемых или ископаемого топлива</t>
  </si>
  <si>
    <t>702. Оборона, 703. Общественный порядок и безопасность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</si>
</sst>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\ &quot;сом&quot;;\-#,##0\ &quot;сом&quot;"/>
    <numFmt numFmtId="181" formatCode="#,##0\ &quot;сом&quot;;[Red]\-#,##0\ &quot;сом&quot;"/>
    <numFmt numFmtId="182" formatCode="#,##0.00\ &quot;сом&quot;;\-#,##0.00\ &quot;сом&quot;"/>
    <numFmt numFmtId="183" formatCode="#,##0.00\ &quot;сом&quot;;[Red]\-#,##0.00\ &quot;сом&quot;"/>
    <numFmt numFmtId="184" formatCode="_-* #,##0\ &quot;сом&quot;_-;\-* #,##0\ &quot;сом&quot;_-;_-* &quot;-&quot;\ &quot;сом&quot;_-;_-@_-"/>
    <numFmt numFmtId="185" formatCode="_-* #,##0\ _с_о_м_-;\-* #,##0\ _с_о_м_-;_-* &quot;-&quot;\ _с_о_м_-;_-@_-"/>
    <numFmt numFmtId="186" formatCode="_-* #,##0.00\ &quot;сом&quot;_-;\-* #,##0.00\ &quot;сом&quot;_-;_-* &quot;-&quot;??\ &quot;сом&quot;_-;_-@_-"/>
    <numFmt numFmtId="187" formatCode="_-* #,##0.00\ _с_о_м_-;\-* #,##0.00\ _с_о_м_-;_-* &quot;-&quot;??\ _с_о_м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0.0"/>
    <numFmt numFmtId="197" formatCode="0.000"/>
    <numFmt numFmtId="198" formatCode="0.000000"/>
    <numFmt numFmtId="199" formatCode="0.00000"/>
    <numFmt numFmtId="200" formatCode="0.0000"/>
    <numFmt numFmtId="201" formatCode="#,##0.000"/>
    <numFmt numFmtId="202" formatCode="#,##0.0"/>
    <numFmt numFmtId="203" formatCode="#&quot; &quot;##0.000"/>
    <numFmt numFmtId="204" formatCode="#&quot; &quot;##0.0"/>
    <numFmt numFmtId="205" formatCode="#&quot; &quot;##0"/>
    <numFmt numFmtId="206" formatCode="#&quot; &quot;##0.0_ "/>
    <numFmt numFmtId="207" formatCode="0.0%"/>
    <numFmt numFmtId="208" formatCode="#&quot; &quot;##0.0_ ;[Red]\-#&quot; &quot;##0.0\ "/>
    <numFmt numFmtId="209" formatCode="0.0_ ;[Red]\-0.0\ "/>
    <numFmt numFmtId="210" formatCode="#,##0.0_ ;[Red]\-#,##0.0\ "/>
    <numFmt numFmtId="211" formatCode="#,##0.0_ ;\-#,##0.0\ "/>
  </numFmts>
  <fonts count="8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9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9"/>
      <name val="Times New Roman"/>
      <family val="1"/>
    </font>
    <font>
      <b/>
      <sz val="9"/>
      <color indexed="9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b/>
      <sz val="10"/>
      <color indexed="9"/>
      <name val="Times New Roman"/>
      <family val="1"/>
    </font>
    <font>
      <b/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9"/>
      <color indexed="17"/>
      <name val="Times New Roman"/>
      <family val="1"/>
    </font>
    <font>
      <b/>
      <sz val="9"/>
      <color indexed="14"/>
      <name val="Times New Roman"/>
      <family val="1"/>
    </font>
    <font>
      <b/>
      <sz val="9"/>
      <color indexed="12"/>
      <name val="Times New Roman"/>
      <family val="1"/>
    </font>
    <font>
      <sz val="9"/>
      <color indexed="8"/>
      <name val="Times New Roman"/>
      <family val="1"/>
    </font>
    <font>
      <b/>
      <sz val="9"/>
      <color indexed="20"/>
      <name val="Times New Roman"/>
      <family val="1"/>
    </font>
    <font>
      <i/>
      <sz val="9"/>
      <color indexed="8"/>
      <name val="Times New Roman"/>
      <family val="1"/>
    </font>
    <font>
      <b/>
      <sz val="8"/>
      <name val="Arial Cyr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14"/>
      <name val="Times New Roman"/>
      <family val="1"/>
    </font>
    <font>
      <i/>
      <sz val="8"/>
      <name val="Times New Roman"/>
      <family val="1"/>
    </font>
    <font>
      <b/>
      <sz val="8"/>
      <color indexed="16"/>
      <name val="Times New Roman"/>
      <family val="1"/>
    </font>
    <font>
      <b/>
      <u val="single"/>
      <sz val="8"/>
      <color indexed="17"/>
      <name val="Times New Roman"/>
      <family val="1"/>
    </font>
    <font>
      <u val="single"/>
      <sz val="8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b/>
      <i/>
      <sz val="8"/>
      <color indexed="8"/>
      <name val="Arial"/>
      <family val="2"/>
    </font>
    <font>
      <sz val="8"/>
      <color indexed="16"/>
      <name val="Times New Roman"/>
      <family val="1"/>
    </font>
    <font>
      <sz val="10"/>
      <name val="Arial"/>
      <family val="2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45" fillId="0" borderId="0">
      <alignment/>
      <protection/>
    </xf>
    <xf numFmtId="0" fontId="5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202" fontId="6" fillId="33" borderId="0" xfId="0" applyNumberFormat="1" applyFont="1" applyFill="1" applyBorder="1" applyAlignment="1">
      <alignment vertical="center"/>
    </xf>
    <xf numFmtId="202" fontId="6" fillId="0" borderId="0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3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02" fontId="8" fillId="33" borderId="0" xfId="0" applyNumberFormat="1" applyFont="1" applyFill="1" applyBorder="1" applyAlignment="1">
      <alignment vertical="center"/>
    </xf>
    <xf numFmtId="202" fontId="8" fillId="33" borderId="0" xfId="0" applyNumberFormat="1" applyFont="1" applyFill="1" applyBorder="1" applyAlignment="1" applyProtection="1">
      <alignment vertical="center"/>
      <protection locked="0"/>
    </xf>
    <xf numFmtId="202" fontId="8" fillId="0" borderId="0" xfId="0" applyNumberFormat="1" applyFont="1" applyFill="1" applyBorder="1" applyAlignment="1">
      <alignment vertical="center"/>
    </xf>
    <xf numFmtId="202" fontId="16" fillId="33" borderId="0" xfId="0" applyNumberFormat="1" applyFont="1" applyFill="1" applyBorder="1" applyAlignment="1">
      <alignment vertical="center"/>
    </xf>
    <xf numFmtId="0" fontId="17" fillId="3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9" fillId="33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202" fontId="10" fillId="33" borderId="0" xfId="0" applyNumberFormat="1" applyFont="1" applyFill="1" applyBorder="1" applyAlignment="1">
      <alignment vertical="center"/>
    </xf>
    <xf numFmtId="0" fontId="18" fillId="33" borderId="0" xfId="0" applyFont="1" applyFill="1" applyBorder="1" applyAlignment="1">
      <alignment vertical="center" wrapText="1"/>
    </xf>
    <xf numFmtId="0" fontId="20" fillId="33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202" fontId="18" fillId="33" borderId="0" xfId="0" applyNumberFormat="1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15" fillId="33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202" fontId="17" fillId="33" borderId="0" xfId="0" applyNumberFormat="1" applyFont="1" applyFill="1" applyBorder="1" applyAlignment="1" applyProtection="1">
      <alignment vertical="center"/>
      <protection locked="0"/>
    </xf>
    <xf numFmtId="0" fontId="22" fillId="33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202" fontId="8" fillId="33" borderId="0" xfId="0" applyNumberFormat="1" applyFont="1" applyFill="1" applyAlignment="1">
      <alignment vertical="center"/>
    </xf>
    <xf numFmtId="202" fontId="8" fillId="33" borderId="0" xfId="0" applyNumberFormat="1" applyFont="1" applyFill="1" applyAlignment="1" applyProtection="1">
      <alignment vertical="center"/>
      <protection locked="0"/>
    </xf>
    <xf numFmtId="202" fontId="8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96" fontId="8" fillId="0" borderId="0" xfId="0" applyNumberFormat="1" applyFont="1" applyFill="1" applyBorder="1" applyAlignment="1">
      <alignment vertical="center"/>
    </xf>
    <xf numFmtId="196" fontId="8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 wrapText="1"/>
    </xf>
    <xf numFmtId="196" fontId="8" fillId="0" borderId="0" xfId="0" applyNumberFormat="1" applyFont="1" applyFill="1" applyAlignment="1" applyProtection="1">
      <alignment vertical="center"/>
      <protection locked="0"/>
    </xf>
    <xf numFmtId="196" fontId="8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8" fillId="33" borderId="0" xfId="0" applyFont="1" applyFill="1" applyAlignment="1">
      <alignment horizontal="right" vertical="center"/>
    </xf>
    <xf numFmtId="0" fontId="26" fillId="33" borderId="0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27" fillId="33" borderId="0" xfId="0" applyFont="1" applyFill="1" applyBorder="1" applyAlignment="1">
      <alignment horizontal="left" vertical="center"/>
    </xf>
    <xf numFmtId="0" fontId="28" fillId="33" borderId="0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left" vertical="center"/>
    </xf>
    <xf numFmtId="0" fontId="25" fillId="33" borderId="0" xfId="0" applyFont="1" applyFill="1" applyBorder="1" applyAlignment="1">
      <alignment horizontal="left" vertical="center"/>
    </xf>
    <xf numFmtId="0" fontId="30" fillId="33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1" fontId="8" fillId="33" borderId="10" xfId="0" applyNumberFormat="1" applyFont="1" applyFill="1" applyBorder="1" applyAlignment="1" applyProtection="1">
      <alignment horizontal="left" vertical="center"/>
      <protection/>
    </xf>
    <xf numFmtId="1" fontId="8" fillId="33" borderId="10" xfId="0" applyNumberFormat="1" applyFont="1" applyFill="1" applyBorder="1" applyAlignment="1">
      <alignment horizontal="left" vertical="center"/>
    </xf>
    <xf numFmtId="0" fontId="39" fillId="33" borderId="0" xfId="0" applyFont="1" applyFill="1" applyBorder="1" applyAlignment="1">
      <alignment horizontal="left" vertical="center"/>
    </xf>
    <xf numFmtId="1" fontId="6" fillId="33" borderId="10" xfId="0" applyNumberFormat="1" applyFont="1" applyFill="1" applyBorder="1" applyAlignment="1" applyProtection="1">
      <alignment horizontal="left" vertical="center"/>
      <protection/>
    </xf>
    <xf numFmtId="0" fontId="40" fillId="33" borderId="0" xfId="0" applyFont="1" applyFill="1" applyBorder="1" applyAlignment="1">
      <alignment horizontal="left" vertical="center"/>
    </xf>
    <xf numFmtId="0" fontId="36" fillId="33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 applyProtection="1">
      <alignment horizontal="left" vertical="center"/>
      <protection/>
    </xf>
    <xf numFmtId="1" fontId="6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196" fontId="41" fillId="0" borderId="0" xfId="0" applyNumberFormat="1" applyFont="1" applyAlignment="1">
      <alignment vertical="center"/>
    </xf>
    <xf numFmtId="0" fontId="38" fillId="0" borderId="0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>
      <alignment horizontal="left" vertical="center"/>
    </xf>
    <xf numFmtId="1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49" fontId="6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49" fontId="8" fillId="0" borderId="10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6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208" fontId="6" fillId="0" borderId="11" xfId="0" applyNumberFormat="1" applyFont="1" applyFill="1" applyBorder="1" applyAlignment="1" applyProtection="1">
      <alignment horizontal="right" vertical="center" wrapText="1"/>
      <protection/>
    </xf>
    <xf numFmtId="49" fontId="6" fillId="0" borderId="0" xfId="0" applyNumberFormat="1" applyFont="1" applyFill="1" applyAlignment="1">
      <alignment horizontal="left" wrapText="1"/>
    </xf>
    <xf numFmtId="49" fontId="6" fillId="0" borderId="0" xfId="0" applyNumberFormat="1" applyFont="1" applyFill="1" applyBorder="1" applyAlignment="1">
      <alignment horizontal="right" vertical="distributed"/>
    </xf>
    <xf numFmtId="202" fontId="6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202" fontId="6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vertical="center" wrapText="1"/>
    </xf>
    <xf numFmtId="49" fontId="32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center" wrapText="1"/>
    </xf>
    <xf numFmtId="49" fontId="34" fillId="0" borderId="0" xfId="0" applyNumberFormat="1" applyFont="1" applyFill="1" applyAlignment="1">
      <alignment horizontal="left" vertical="center" wrapText="1"/>
    </xf>
    <xf numFmtId="0" fontId="34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right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9" fontId="42" fillId="0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/>
    </xf>
    <xf numFmtId="49" fontId="37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3" xfId="0" applyFont="1" applyFill="1" applyBorder="1" applyAlignment="1" applyProtection="1">
      <alignment vertical="center" wrapText="1"/>
      <protection/>
    </xf>
    <xf numFmtId="0" fontId="8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208" fontId="8" fillId="0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208" fontId="6" fillId="0" borderId="10" xfId="0" applyNumberFormat="1" applyFont="1" applyFill="1" applyBorder="1" applyAlignment="1">
      <alignment horizontal="center" vertical="center"/>
    </xf>
    <xf numFmtId="208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44" fillId="0" borderId="0" xfId="0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vertical="center" wrapText="1"/>
    </xf>
    <xf numFmtId="208" fontId="6" fillId="0" borderId="10" xfId="0" applyNumberFormat="1" applyFont="1" applyFill="1" applyBorder="1" applyAlignment="1" applyProtection="1">
      <alignment horizontal="right" vertical="center" wrapText="1"/>
      <protection/>
    </xf>
    <xf numFmtId="208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right" vertical="center"/>
    </xf>
    <xf numFmtId="202" fontId="6" fillId="33" borderId="0" xfId="0" applyNumberFormat="1" applyFont="1" applyFill="1" applyBorder="1" applyAlignment="1" applyProtection="1">
      <alignment vertical="center"/>
      <protection locked="0"/>
    </xf>
    <xf numFmtId="0" fontId="6" fillId="33" borderId="0" xfId="0" applyFont="1" applyFill="1" applyAlignment="1">
      <alignment horizontal="right" vertical="center"/>
    </xf>
    <xf numFmtId="202" fontId="14" fillId="33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distributed"/>
    </xf>
    <xf numFmtId="0" fontId="46" fillId="0" borderId="0" xfId="0" applyFont="1" applyAlignment="1">
      <alignment/>
    </xf>
    <xf numFmtId="0" fontId="19" fillId="0" borderId="12" xfId="0" applyFont="1" applyBorder="1" applyAlignment="1">
      <alignment vertical="center"/>
    </xf>
    <xf numFmtId="49" fontId="6" fillId="0" borderId="10" xfId="0" applyNumberFormat="1" applyFont="1" applyFill="1" applyBorder="1" applyAlignment="1">
      <alignment vertical="center" wrapText="1"/>
    </xf>
    <xf numFmtId="196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>
      <alignment vertical="center" wrapText="1"/>
    </xf>
    <xf numFmtId="4" fontId="7" fillId="33" borderId="21" xfId="0" applyNumberFormat="1" applyFont="1" applyFill="1" applyBorder="1" applyAlignment="1">
      <alignment vertical="center" wrapText="1"/>
    </xf>
    <xf numFmtId="0" fontId="7" fillId="33" borderId="21" xfId="0" applyFont="1" applyFill="1" applyBorder="1" applyAlignment="1">
      <alignment vertical="center"/>
    </xf>
    <xf numFmtId="49" fontId="6" fillId="0" borderId="11" xfId="0" applyNumberFormat="1" applyFont="1" applyBorder="1" applyAlignment="1">
      <alignment vertical="center" wrapText="1"/>
    </xf>
    <xf numFmtId="1" fontId="8" fillId="0" borderId="10" xfId="0" applyNumberFormat="1" applyFont="1" applyFill="1" applyBorder="1" applyAlignment="1" applyProtection="1">
      <alignment horizontal="left" vertical="center"/>
      <protection/>
    </xf>
    <xf numFmtId="0" fontId="6" fillId="34" borderId="10" xfId="53" applyFont="1" applyFill="1" applyBorder="1" applyAlignment="1">
      <alignment horizontal="left" vertical="center" wrapText="1"/>
      <protection/>
    </xf>
    <xf numFmtId="0" fontId="6" fillId="34" borderId="10" xfId="53" applyNumberFormat="1" applyFont="1" applyFill="1" applyBorder="1" applyAlignment="1">
      <alignment horizontal="left" vertical="center"/>
      <protection/>
    </xf>
    <xf numFmtId="0" fontId="8" fillId="34" borderId="10" xfId="53" applyFont="1" applyFill="1" applyBorder="1" applyAlignment="1">
      <alignment horizontal="left" vertical="center" wrapText="1"/>
      <protection/>
    </xf>
    <xf numFmtId="0" fontId="8" fillId="34" borderId="10" xfId="53" applyNumberFormat="1" applyFont="1" applyFill="1" applyBorder="1" applyAlignment="1">
      <alignment horizontal="left" vertical="center"/>
      <protection/>
    </xf>
    <xf numFmtId="0" fontId="37" fillId="33" borderId="10" xfId="0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/>
    </xf>
    <xf numFmtId="49" fontId="7" fillId="0" borderId="21" xfId="0" applyNumberFormat="1" applyFont="1" applyFill="1" applyBorder="1" applyAlignment="1">
      <alignment vertical="distributed"/>
    </xf>
    <xf numFmtId="202" fontId="18" fillId="33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6" fillId="0" borderId="12" xfId="0" applyFont="1" applyBorder="1" applyAlignment="1">
      <alignment vertical="center"/>
    </xf>
    <xf numFmtId="210" fontId="8" fillId="0" borderId="0" xfId="61" applyNumberFormat="1" applyFont="1" applyAlignment="1">
      <alignment vertical="center"/>
    </xf>
    <xf numFmtId="210" fontId="7" fillId="0" borderId="21" xfId="61" applyNumberFormat="1" applyFont="1" applyBorder="1" applyAlignment="1">
      <alignment vertical="center" wrapText="1"/>
    </xf>
    <xf numFmtId="210" fontId="7" fillId="0" borderId="0" xfId="61" applyNumberFormat="1" applyFont="1" applyBorder="1" applyAlignment="1">
      <alignment horizontal="left" vertical="center" wrapText="1"/>
    </xf>
    <xf numFmtId="210" fontId="41" fillId="0" borderId="0" xfId="61" applyNumberFormat="1" applyFont="1" applyAlignment="1">
      <alignment vertical="center"/>
    </xf>
    <xf numFmtId="210" fontId="8" fillId="0" borderId="0" xfId="61" applyNumberFormat="1" applyFont="1" applyAlignment="1">
      <alignment horizontal="right"/>
    </xf>
    <xf numFmtId="210" fontId="8" fillId="0" borderId="22" xfId="61" applyNumberFormat="1" applyFont="1" applyFill="1" applyBorder="1" applyAlignment="1">
      <alignment horizontal="center" vertical="center" wrapText="1"/>
    </xf>
    <xf numFmtId="210" fontId="8" fillId="0" borderId="23" xfId="61" applyNumberFormat="1" applyFont="1" applyFill="1" applyBorder="1" applyAlignment="1">
      <alignment horizontal="center" vertical="center" wrapText="1"/>
    </xf>
    <xf numFmtId="210" fontId="8" fillId="0" borderId="24" xfId="61" applyNumberFormat="1" applyFont="1" applyFill="1" applyBorder="1" applyAlignment="1">
      <alignment horizontal="center" vertical="center" wrapText="1"/>
    </xf>
    <xf numFmtId="210" fontId="6" fillId="0" borderId="11" xfId="61" applyNumberFormat="1" applyFont="1" applyFill="1" applyBorder="1" applyAlignment="1">
      <alignment horizontal="right" vertical="center" wrapText="1"/>
    </xf>
    <xf numFmtId="210" fontId="6" fillId="0" borderId="11" xfId="61" applyNumberFormat="1" applyFont="1" applyFill="1" applyBorder="1" applyAlignment="1">
      <alignment horizontal="right" vertical="center"/>
    </xf>
    <xf numFmtId="210" fontId="8" fillId="0" borderId="10" xfId="61" applyNumberFormat="1" applyFont="1" applyFill="1" applyBorder="1" applyAlignment="1">
      <alignment horizontal="right" vertical="center" wrapText="1"/>
    </xf>
    <xf numFmtId="210" fontId="8" fillId="0" borderId="10" xfId="61" applyNumberFormat="1" applyFont="1" applyFill="1" applyBorder="1" applyAlignment="1">
      <alignment horizontal="right" vertical="center"/>
    </xf>
    <xf numFmtId="210" fontId="6" fillId="0" borderId="10" xfId="61" applyNumberFormat="1" applyFont="1" applyFill="1" applyBorder="1" applyAlignment="1" applyProtection="1">
      <alignment horizontal="right" vertical="center"/>
      <protection/>
    </xf>
    <xf numFmtId="210" fontId="6" fillId="0" borderId="10" xfId="61" applyNumberFormat="1" applyFont="1" applyFill="1" applyBorder="1" applyAlignment="1">
      <alignment horizontal="right" vertical="center"/>
    </xf>
    <xf numFmtId="210" fontId="6" fillId="0" borderId="10" xfId="61" applyNumberFormat="1" applyFont="1" applyBorder="1" applyAlignment="1">
      <alignment horizontal="right" vertical="center" wrapText="1"/>
    </xf>
    <xf numFmtId="210" fontId="6" fillId="33" borderId="10" xfId="61" applyNumberFormat="1" applyFont="1" applyFill="1" applyBorder="1" applyAlignment="1">
      <alignment horizontal="right" vertical="center"/>
    </xf>
    <xf numFmtId="210" fontId="8" fillId="0" borderId="10" xfId="61" applyNumberFormat="1" applyFont="1" applyBorder="1" applyAlignment="1">
      <alignment horizontal="right" vertical="center" wrapText="1"/>
    </xf>
    <xf numFmtId="210" fontId="6" fillId="0" borderId="10" xfId="61" applyNumberFormat="1" applyFont="1" applyFill="1" applyBorder="1" applyAlignment="1">
      <alignment horizontal="right" vertical="center" wrapText="1"/>
    </xf>
    <xf numFmtId="210" fontId="6" fillId="0" borderId="10" xfId="61" applyNumberFormat="1" applyFont="1" applyBorder="1" applyAlignment="1">
      <alignment horizontal="right" vertical="center"/>
    </xf>
    <xf numFmtId="210" fontId="8" fillId="0" borderId="0" xfId="61" applyNumberFormat="1" applyFont="1" applyFill="1" applyBorder="1" applyAlignment="1">
      <alignment vertical="center"/>
    </xf>
    <xf numFmtId="210" fontId="8" fillId="0" borderId="0" xfId="61" applyNumberFormat="1" applyFont="1" applyFill="1" applyAlignment="1">
      <alignment vertical="center"/>
    </xf>
    <xf numFmtId="210" fontId="6" fillId="33" borderId="10" xfId="61" applyNumberFormat="1" applyFont="1" applyFill="1" applyBorder="1" applyAlignment="1" applyProtection="1">
      <alignment horizontal="right" vertical="center" wrapText="1"/>
      <protection/>
    </xf>
    <xf numFmtId="210" fontId="6" fillId="0" borderId="0" xfId="0" applyNumberFormat="1" applyFont="1" applyFill="1" applyAlignment="1">
      <alignment vertical="center"/>
    </xf>
    <xf numFmtId="210" fontId="6" fillId="0" borderId="0" xfId="0" applyNumberFormat="1" applyFont="1" applyFill="1" applyAlignment="1" applyProtection="1">
      <alignment vertical="center"/>
      <protection locked="0"/>
    </xf>
    <xf numFmtId="210" fontId="8" fillId="0" borderId="0" xfId="0" applyNumberFormat="1" applyFont="1" applyFill="1" applyAlignment="1">
      <alignment vertical="center"/>
    </xf>
    <xf numFmtId="210" fontId="7" fillId="0" borderId="21" xfId="0" applyNumberFormat="1" applyFont="1" applyBorder="1" applyAlignment="1">
      <alignment vertical="center" wrapText="1"/>
    </xf>
    <xf numFmtId="210" fontId="8" fillId="0" borderId="22" xfId="0" applyNumberFormat="1" applyFont="1" applyFill="1" applyBorder="1" applyAlignment="1">
      <alignment horizontal="center" vertical="center" wrapText="1"/>
    </xf>
    <xf numFmtId="210" fontId="8" fillId="0" borderId="23" xfId="0" applyNumberFormat="1" applyFont="1" applyFill="1" applyBorder="1" applyAlignment="1">
      <alignment horizontal="center" vertical="center" wrapText="1"/>
    </xf>
    <xf numFmtId="210" fontId="8" fillId="0" borderId="24" xfId="0" applyNumberFormat="1" applyFont="1" applyFill="1" applyBorder="1" applyAlignment="1">
      <alignment horizontal="center" vertical="center" wrapText="1"/>
    </xf>
    <xf numFmtId="210" fontId="6" fillId="0" borderId="11" xfId="0" applyNumberFormat="1" applyFont="1" applyFill="1" applyBorder="1" applyAlignment="1">
      <alignment horizontal="right" vertical="center" wrapText="1"/>
    </xf>
    <xf numFmtId="210" fontId="6" fillId="0" borderId="11" xfId="0" applyNumberFormat="1" applyFont="1" applyFill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 wrapText="1"/>
    </xf>
    <xf numFmtId="210" fontId="8" fillId="0" borderId="10" xfId="0" applyNumberFormat="1" applyFont="1" applyFill="1" applyBorder="1" applyAlignment="1">
      <alignment horizontal="right" vertical="center"/>
    </xf>
    <xf numFmtId="210" fontId="6" fillId="0" borderId="10" xfId="0" applyNumberFormat="1" applyFont="1" applyFill="1" applyBorder="1" applyAlignment="1" applyProtection="1">
      <alignment horizontal="right" vertical="center"/>
      <protection/>
    </xf>
    <xf numFmtId="210" fontId="6" fillId="0" borderId="10" xfId="0" applyNumberFormat="1" applyFont="1" applyFill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 wrapText="1"/>
    </xf>
    <xf numFmtId="210" fontId="6" fillId="0" borderId="10" xfId="0" applyNumberFormat="1" applyFont="1" applyFill="1" applyBorder="1" applyAlignment="1">
      <alignment horizontal="right" vertical="center" wrapText="1"/>
    </xf>
    <xf numFmtId="210" fontId="6" fillId="0" borderId="10" xfId="0" applyNumberFormat="1" applyFont="1" applyBorder="1" applyAlignment="1">
      <alignment horizontal="right" vertical="center"/>
    </xf>
    <xf numFmtId="210" fontId="7" fillId="33" borderId="21" xfId="61" applyNumberFormat="1" applyFont="1" applyFill="1" applyBorder="1" applyAlignment="1">
      <alignment vertical="center" wrapText="1"/>
    </xf>
    <xf numFmtId="210" fontId="6" fillId="0" borderId="11" xfId="61" applyNumberFormat="1" applyFont="1" applyBorder="1" applyAlignment="1">
      <alignment vertical="center"/>
    </xf>
    <xf numFmtId="210" fontId="6" fillId="0" borderId="11" xfId="61" applyNumberFormat="1" applyFont="1" applyBorder="1" applyAlignment="1">
      <alignment horizontal="right" vertical="center"/>
    </xf>
    <xf numFmtId="210" fontId="6" fillId="0" borderId="10" xfId="61" applyNumberFormat="1" applyFont="1" applyBorder="1" applyAlignment="1">
      <alignment vertical="center"/>
    </xf>
    <xf numFmtId="210" fontId="8" fillId="0" borderId="10" xfId="61" applyNumberFormat="1" applyFont="1" applyBorder="1" applyAlignment="1">
      <alignment vertical="center"/>
    </xf>
    <xf numFmtId="210" fontId="8" fillId="0" borderId="11" xfId="61" applyNumberFormat="1" applyFont="1" applyBorder="1" applyAlignment="1">
      <alignment horizontal="right" vertical="center"/>
    </xf>
    <xf numFmtId="210" fontId="8" fillId="0" borderId="10" xfId="61" applyNumberFormat="1" applyFont="1" applyBorder="1" applyAlignment="1">
      <alignment horizontal="right" vertical="center"/>
    </xf>
    <xf numFmtId="210" fontId="8" fillId="33" borderId="0" xfId="61" applyNumberFormat="1" applyFont="1" applyFill="1" applyBorder="1" applyAlignment="1">
      <alignment vertical="center"/>
    </xf>
    <xf numFmtId="210" fontId="6" fillId="33" borderId="0" xfId="61" applyNumberFormat="1" applyFont="1" applyFill="1" applyBorder="1" applyAlignment="1">
      <alignment vertical="center"/>
    </xf>
    <xf numFmtId="210" fontId="8" fillId="33" borderId="0" xfId="61" applyNumberFormat="1" applyFont="1" applyFill="1" applyAlignment="1">
      <alignment vertical="center"/>
    </xf>
    <xf numFmtId="210" fontId="8" fillId="0" borderId="10" xfId="61" applyNumberFormat="1" applyFont="1" applyFill="1" applyBorder="1" applyAlignment="1">
      <alignment vertical="center"/>
    </xf>
    <xf numFmtId="210" fontId="6" fillId="0" borderId="0" xfId="61" applyNumberFormat="1" applyFont="1" applyFill="1" applyBorder="1" applyAlignment="1">
      <alignment vertical="center"/>
    </xf>
    <xf numFmtId="210" fontId="14" fillId="0" borderId="0" xfId="61" applyNumberFormat="1" applyFont="1" applyFill="1" applyBorder="1" applyAlignment="1">
      <alignment vertical="center"/>
    </xf>
    <xf numFmtId="210" fontId="10" fillId="0" borderId="0" xfId="61" applyNumberFormat="1" applyFont="1" applyFill="1" applyBorder="1" applyAlignment="1">
      <alignment vertical="center"/>
    </xf>
    <xf numFmtId="210" fontId="7" fillId="33" borderId="21" xfId="61" applyNumberFormat="1" applyFont="1" applyFill="1" applyBorder="1" applyAlignment="1">
      <alignment vertical="center"/>
    </xf>
    <xf numFmtId="210" fontId="14" fillId="33" borderId="0" xfId="61" applyNumberFormat="1" applyFont="1" applyFill="1" applyBorder="1" applyAlignment="1">
      <alignment vertical="center"/>
    </xf>
    <xf numFmtId="210" fontId="10" fillId="33" borderId="0" xfId="61" applyNumberFormat="1" applyFont="1" applyFill="1" applyBorder="1" applyAlignment="1">
      <alignment vertical="center"/>
    </xf>
    <xf numFmtId="210" fontId="9" fillId="0" borderId="0" xfId="61" applyNumberFormat="1" applyFont="1" applyAlignment="1">
      <alignment/>
    </xf>
    <xf numFmtId="210" fontId="8" fillId="0" borderId="0" xfId="61" applyNumberFormat="1" applyFont="1" applyAlignment="1">
      <alignment/>
    </xf>
    <xf numFmtId="210" fontId="7" fillId="0" borderId="21" xfId="61" applyNumberFormat="1" applyFont="1" applyFill="1" applyBorder="1" applyAlignment="1">
      <alignment vertical="distributed"/>
    </xf>
    <xf numFmtId="210" fontId="6" fillId="0" borderId="11" xfId="61" applyNumberFormat="1" applyFont="1" applyFill="1" applyBorder="1" applyAlignment="1">
      <alignment vertical="center"/>
    </xf>
    <xf numFmtId="210" fontId="7" fillId="0" borderId="0" xfId="61" applyNumberFormat="1" applyFont="1" applyFill="1" applyBorder="1" applyAlignment="1">
      <alignment/>
    </xf>
    <xf numFmtId="210" fontId="7" fillId="0" borderId="0" xfId="61" applyNumberFormat="1" applyFont="1" applyFill="1" applyAlignment="1">
      <alignment/>
    </xf>
    <xf numFmtId="210" fontId="7" fillId="0" borderId="0" xfId="61" applyNumberFormat="1" applyFont="1" applyFill="1" applyAlignment="1">
      <alignment horizontal="left" vertical="center"/>
    </xf>
    <xf numFmtId="210" fontId="6" fillId="0" borderId="11" xfId="61" applyNumberFormat="1" applyFont="1" applyFill="1" applyBorder="1" applyAlignment="1">
      <alignment horizontal="center" vertical="center" wrapText="1"/>
    </xf>
    <xf numFmtId="210" fontId="6" fillId="0" borderId="10" xfId="61" applyNumberFormat="1" applyFont="1" applyFill="1" applyBorder="1" applyAlignment="1">
      <alignment horizontal="center" vertical="center"/>
    </xf>
    <xf numFmtId="210" fontId="6" fillId="0" borderId="10" xfId="61" applyNumberFormat="1" applyFont="1" applyFill="1" applyBorder="1" applyAlignment="1">
      <alignment horizontal="center" vertical="center" wrapText="1"/>
    </xf>
    <xf numFmtId="210" fontId="8" fillId="0" borderId="10" xfId="61" applyNumberFormat="1" applyFont="1" applyFill="1" applyBorder="1" applyAlignment="1">
      <alignment horizontal="center" vertical="center"/>
    </xf>
    <xf numFmtId="210" fontId="8" fillId="0" borderId="10" xfId="61" applyNumberFormat="1" applyFont="1" applyFill="1" applyBorder="1" applyAlignment="1">
      <alignment horizontal="center" vertical="center" wrapText="1"/>
    </xf>
    <xf numFmtId="210" fontId="0" fillId="0" borderId="0" xfId="61" applyNumberFormat="1" applyFont="1" applyAlignment="1">
      <alignment/>
    </xf>
    <xf numFmtId="210" fontId="8" fillId="33" borderId="0" xfId="61" applyNumberFormat="1" applyFont="1" applyFill="1" applyBorder="1" applyAlignment="1" applyProtection="1">
      <alignment vertical="center"/>
      <protection locked="0"/>
    </xf>
    <xf numFmtId="210" fontId="16" fillId="33" borderId="0" xfId="61" applyNumberFormat="1" applyFont="1" applyFill="1" applyBorder="1" applyAlignment="1">
      <alignment vertical="center"/>
    </xf>
    <xf numFmtId="210" fontId="17" fillId="33" borderId="0" xfId="61" applyNumberFormat="1" applyFont="1" applyFill="1" applyBorder="1" applyAlignment="1" applyProtection="1">
      <alignment vertical="center"/>
      <protection locked="0"/>
    </xf>
    <xf numFmtId="210" fontId="6" fillId="0" borderId="0" xfId="0" applyNumberFormat="1" applyFont="1" applyFill="1" applyAlignment="1">
      <alignment horizontal="right" vertical="center" wrapText="1"/>
    </xf>
    <xf numFmtId="210" fontId="6" fillId="0" borderId="11" xfId="0" applyNumberFormat="1" applyFont="1" applyFill="1" applyBorder="1" applyAlignment="1">
      <alignment horizontal="center" vertical="center" wrapText="1"/>
    </xf>
    <xf numFmtId="210" fontId="6" fillId="0" borderId="10" xfId="0" applyNumberFormat="1" applyFont="1" applyFill="1" applyBorder="1" applyAlignment="1">
      <alignment horizontal="center" vertical="center"/>
    </xf>
    <xf numFmtId="210" fontId="6" fillId="0" borderId="10" xfId="0" applyNumberFormat="1" applyFont="1" applyFill="1" applyBorder="1" applyAlignment="1">
      <alignment horizontal="center" vertical="center" wrapText="1"/>
    </xf>
    <xf numFmtId="210" fontId="8" fillId="0" borderId="10" xfId="0" applyNumberFormat="1" applyFont="1" applyFill="1" applyBorder="1" applyAlignment="1">
      <alignment horizontal="center" vertical="center"/>
    </xf>
    <xf numFmtId="210" fontId="8" fillId="0" borderId="10" xfId="0" applyNumberFormat="1" applyFont="1" applyFill="1" applyBorder="1" applyAlignment="1">
      <alignment horizontal="center" vertical="center" wrapText="1"/>
    </xf>
    <xf numFmtId="210" fontId="0" fillId="0" borderId="0" xfId="0" applyNumberFormat="1" applyAlignment="1">
      <alignment vertical="center"/>
    </xf>
    <xf numFmtId="210" fontId="0" fillId="0" borderId="0" xfId="0" applyNumberFormat="1" applyAlignment="1">
      <alignment/>
    </xf>
    <xf numFmtId="210" fontId="8" fillId="33" borderId="0" xfId="0" applyNumberFormat="1" applyFont="1" applyFill="1" applyBorder="1" applyAlignment="1">
      <alignment vertical="center"/>
    </xf>
    <xf numFmtId="210" fontId="16" fillId="33" borderId="0" xfId="0" applyNumberFormat="1" applyFont="1" applyFill="1" applyBorder="1" applyAlignment="1">
      <alignment vertical="center"/>
    </xf>
    <xf numFmtId="210" fontId="14" fillId="33" borderId="0" xfId="0" applyNumberFormat="1" applyFont="1" applyFill="1" applyBorder="1" applyAlignment="1">
      <alignment vertical="center"/>
    </xf>
    <xf numFmtId="210" fontId="6" fillId="33" borderId="0" xfId="0" applyNumberFormat="1" applyFont="1" applyFill="1" applyBorder="1" applyAlignment="1">
      <alignment vertical="center"/>
    </xf>
    <xf numFmtId="210" fontId="10" fillId="33" borderId="0" xfId="0" applyNumberFormat="1" applyFont="1" applyFill="1" applyBorder="1" applyAlignment="1">
      <alignment vertical="center"/>
    </xf>
    <xf numFmtId="210" fontId="15" fillId="33" borderId="0" xfId="0" applyNumberFormat="1" applyFont="1" applyFill="1" applyBorder="1" applyAlignment="1">
      <alignment vertical="center"/>
    </xf>
    <xf numFmtId="210" fontId="7" fillId="0" borderId="0" xfId="61" applyNumberFormat="1" applyFont="1" applyFill="1" applyAlignment="1">
      <alignment horizontal="left" vertical="center" wrapText="1"/>
    </xf>
    <xf numFmtId="210" fontId="6" fillId="0" borderId="0" xfId="61" applyNumberFormat="1" applyFont="1" applyFill="1" applyAlignment="1">
      <alignment horizontal="left" vertical="center"/>
    </xf>
    <xf numFmtId="210" fontId="8" fillId="0" borderId="20" xfId="61" applyNumberFormat="1" applyFont="1" applyFill="1" applyBorder="1" applyAlignment="1">
      <alignment horizontal="center" vertical="center" wrapText="1"/>
    </xf>
    <xf numFmtId="210" fontId="6" fillId="0" borderId="25" xfId="61" applyNumberFormat="1" applyFont="1" applyFill="1" applyBorder="1" applyAlignment="1">
      <alignment horizontal="center" vertical="center" wrapText="1"/>
    </xf>
    <xf numFmtId="210" fontId="6" fillId="0" borderId="17" xfId="61" applyNumberFormat="1" applyFont="1" applyFill="1" applyBorder="1" applyAlignment="1">
      <alignment horizontal="center" vertical="center" wrapText="1"/>
    </xf>
    <xf numFmtId="210" fontId="6" fillId="0" borderId="18" xfId="61" applyNumberFormat="1" applyFont="1" applyFill="1" applyBorder="1" applyAlignment="1">
      <alignment horizontal="center" vertical="center" wrapText="1"/>
    </xf>
    <xf numFmtId="210" fontId="6" fillId="0" borderId="14" xfId="61" applyNumberFormat="1" applyFont="1" applyFill="1" applyBorder="1" applyAlignment="1">
      <alignment horizontal="center" vertical="center"/>
    </xf>
    <xf numFmtId="210" fontId="6" fillId="0" borderId="26" xfId="61" applyNumberFormat="1" applyFont="1" applyFill="1" applyBorder="1" applyAlignment="1">
      <alignment horizontal="center" vertical="center"/>
    </xf>
    <xf numFmtId="210" fontId="6" fillId="0" borderId="15" xfId="61" applyNumberFormat="1" applyFont="1" applyFill="1" applyBorder="1" applyAlignment="1">
      <alignment horizontal="center" vertical="center"/>
    </xf>
    <xf numFmtId="210" fontId="8" fillId="0" borderId="13" xfId="61" applyNumberFormat="1" applyFont="1" applyFill="1" applyBorder="1" applyAlignment="1">
      <alignment horizontal="center" vertical="center" wrapText="1"/>
    </xf>
    <xf numFmtId="210" fontId="8" fillId="0" borderId="0" xfId="61" applyNumberFormat="1" applyFont="1" applyFill="1" applyBorder="1" applyAlignment="1">
      <alignment horizontal="center" vertical="center" wrapText="1"/>
    </xf>
    <xf numFmtId="210" fontId="8" fillId="0" borderId="13" xfId="61" applyNumberFormat="1" applyFont="1" applyFill="1" applyBorder="1" applyAlignment="1">
      <alignment horizontal="center" vertical="center"/>
    </xf>
    <xf numFmtId="210" fontId="8" fillId="0" borderId="13" xfId="61" applyNumberFormat="1" applyFont="1" applyBorder="1" applyAlignment="1">
      <alignment horizontal="center" vertical="center"/>
    </xf>
    <xf numFmtId="210" fontId="6" fillId="0" borderId="14" xfId="61" applyNumberFormat="1" applyFont="1" applyFill="1" applyBorder="1" applyAlignment="1">
      <alignment horizontal="center" vertical="center" wrapText="1"/>
    </xf>
    <xf numFmtId="210" fontId="6" fillId="0" borderId="15" xfId="61" applyNumberFormat="1" applyFont="1" applyFill="1" applyBorder="1" applyAlignment="1">
      <alignment horizontal="center" vertical="center" wrapText="1"/>
    </xf>
    <xf numFmtId="210" fontId="8" fillId="0" borderId="16" xfId="61" applyNumberFormat="1" applyFont="1" applyFill="1" applyBorder="1" applyAlignment="1">
      <alignment horizontal="center" vertical="center" wrapText="1"/>
    </xf>
    <xf numFmtId="210" fontId="8" fillId="0" borderId="16" xfId="61" applyNumberFormat="1" applyFont="1" applyBorder="1" applyAlignment="1">
      <alignment horizontal="center" vertical="center"/>
    </xf>
    <xf numFmtId="210" fontId="8" fillId="0" borderId="11" xfId="61" applyNumberFormat="1" applyFont="1" applyFill="1" applyBorder="1" applyAlignment="1">
      <alignment horizontal="center" vertical="center" wrapText="1"/>
    </xf>
    <xf numFmtId="210" fontId="8" fillId="0" borderId="17" xfId="61" applyNumberFormat="1" applyFont="1" applyFill="1" applyBorder="1" applyAlignment="1">
      <alignment horizontal="center" vertical="center" wrapText="1"/>
    </xf>
    <xf numFmtId="210" fontId="8" fillId="0" borderId="11" xfId="61" applyNumberFormat="1" applyFont="1" applyFill="1" applyBorder="1" applyAlignment="1">
      <alignment horizontal="center" vertical="center"/>
    </xf>
    <xf numFmtId="210" fontId="8" fillId="0" borderId="11" xfId="61" applyNumberFormat="1" applyFont="1" applyBorder="1" applyAlignment="1">
      <alignment horizontal="center" vertical="center"/>
    </xf>
    <xf numFmtId="210" fontId="8" fillId="0" borderId="17" xfId="61" applyNumberFormat="1" applyFont="1" applyBorder="1" applyAlignment="1">
      <alignment horizontal="center" vertical="center"/>
    </xf>
    <xf numFmtId="210" fontId="6" fillId="0" borderId="0" xfId="61" applyNumberFormat="1" applyFont="1" applyFill="1" applyBorder="1" applyAlignment="1">
      <alignment horizontal="center" vertical="center" wrapText="1"/>
    </xf>
    <xf numFmtId="210" fontId="6" fillId="0" borderId="13" xfId="61" applyNumberFormat="1" applyFont="1" applyFill="1" applyBorder="1" applyAlignment="1">
      <alignment horizontal="center" vertical="center" wrapText="1"/>
    </xf>
    <xf numFmtId="210" fontId="6" fillId="0" borderId="16" xfId="61" applyNumberFormat="1" applyFont="1" applyFill="1" applyBorder="1" applyAlignment="1">
      <alignment horizontal="center" vertical="center" wrapText="1"/>
    </xf>
    <xf numFmtId="210" fontId="6" fillId="0" borderId="13" xfId="61" applyNumberFormat="1" applyFont="1" applyFill="1" applyBorder="1" applyAlignment="1">
      <alignment horizontal="center" vertical="center"/>
    </xf>
    <xf numFmtId="210" fontId="8" fillId="0" borderId="16" xfId="61" applyNumberFormat="1" applyFont="1" applyFill="1" applyBorder="1" applyAlignment="1">
      <alignment horizontal="center" vertical="center"/>
    </xf>
    <xf numFmtId="210" fontId="6" fillId="0" borderId="26" xfId="61" applyNumberFormat="1" applyFont="1" applyFill="1" applyBorder="1" applyAlignment="1">
      <alignment horizontal="center" vertical="center" wrapText="1"/>
    </xf>
    <xf numFmtId="210" fontId="8" fillId="0" borderId="17" xfId="61" applyNumberFormat="1" applyFont="1" applyFill="1" applyBorder="1" applyAlignment="1">
      <alignment horizontal="center" vertical="center"/>
    </xf>
    <xf numFmtId="210" fontId="8" fillId="0" borderId="0" xfId="61" applyNumberFormat="1" applyFont="1" applyFill="1" applyBorder="1" applyAlignment="1">
      <alignment horizontal="center" vertical="center"/>
    </xf>
    <xf numFmtId="210" fontId="37" fillId="0" borderId="14" xfId="61" applyNumberFormat="1" applyFont="1" applyFill="1" applyBorder="1" applyAlignment="1">
      <alignment horizontal="center" vertical="center" wrapText="1"/>
    </xf>
    <xf numFmtId="210" fontId="37" fillId="0" borderId="26" xfId="61" applyNumberFormat="1" applyFont="1" applyFill="1" applyBorder="1" applyAlignment="1">
      <alignment horizontal="center" vertical="center" wrapText="1"/>
    </xf>
    <xf numFmtId="210" fontId="37" fillId="0" borderId="15" xfId="61" applyNumberFormat="1" applyFont="1" applyFill="1" applyBorder="1" applyAlignment="1">
      <alignment horizontal="center" vertical="center"/>
    </xf>
    <xf numFmtId="210" fontId="37" fillId="0" borderId="26" xfId="61" applyNumberFormat="1" applyFont="1" applyFill="1" applyBorder="1" applyAlignment="1">
      <alignment horizontal="center" vertical="center"/>
    </xf>
    <xf numFmtId="210" fontId="8" fillId="0" borderId="14" xfId="61" applyNumberFormat="1" applyFont="1" applyBorder="1" applyAlignment="1">
      <alignment horizontal="center" vertical="center"/>
    </xf>
    <xf numFmtId="210" fontId="8" fillId="0" borderId="15" xfId="61" applyNumberFormat="1" applyFont="1" applyBorder="1" applyAlignment="1">
      <alignment horizontal="center" vertical="center"/>
    </xf>
    <xf numFmtId="210" fontId="37" fillId="0" borderId="16" xfId="61" applyNumberFormat="1" applyFont="1" applyFill="1" applyBorder="1" applyAlignment="1">
      <alignment horizontal="center" vertical="center"/>
    </xf>
    <xf numFmtId="210" fontId="37" fillId="0" borderId="17" xfId="61" applyNumberFormat="1" applyFont="1" applyFill="1" applyBorder="1" applyAlignment="1">
      <alignment horizontal="center" vertical="center"/>
    </xf>
    <xf numFmtId="210" fontId="8" fillId="0" borderId="27" xfId="61" applyNumberFormat="1" applyFont="1" applyFill="1" applyBorder="1" applyAlignment="1">
      <alignment horizontal="center" vertical="center"/>
    </xf>
    <xf numFmtId="210" fontId="32" fillId="0" borderId="0" xfId="61" applyNumberFormat="1" applyFont="1" applyFill="1" applyBorder="1" applyAlignment="1">
      <alignment horizontal="center" vertical="center" wrapText="1"/>
    </xf>
    <xf numFmtId="210" fontId="32" fillId="0" borderId="0" xfId="61" applyNumberFormat="1" applyFont="1" applyFill="1" applyAlignment="1">
      <alignment horizontal="left"/>
    </xf>
    <xf numFmtId="210" fontId="32" fillId="0" borderId="0" xfId="61" applyNumberFormat="1" applyFont="1" applyFill="1" applyBorder="1" applyAlignment="1">
      <alignment horizontal="right" vertical="center"/>
    </xf>
    <xf numFmtId="210" fontId="32" fillId="0" borderId="0" xfId="61" applyNumberFormat="1" applyFont="1" applyFill="1" applyBorder="1" applyAlignment="1">
      <alignment horizontal="right" vertical="center" wrapText="1"/>
    </xf>
    <xf numFmtId="210" fontId="19" fillId="0" borderId="0" xfId="61" applyNumberFormat="1" applyFont="1" applyAlignment="1">
      <alignment vertical="center"/>
    </xf>
    <xf numFmtId="210" fontId="32" fillId="0" borderId="0" xfId="61" applyNumberFormat="1" applyFont="1" applyFill="1" applyAlignment="1">
      <alignment horizontal="left" vertical="center" wrapText="1"/>
    </xf>
    <xf numFmtId="210" fontId="34" fillId="0" borderId="0" xfId="61" applyNumberFormat="1" applyFont="1" applyFill="1" applyAlignment="1">
      <alignment horizontal="left"/>
    </xf>
    <xf numFmtId="210" fontId="34" fillId="0" borderId="0" xfId="61" applyNumberFormat="1" applyFont="1" applyFill="1" applyBorder="1" applyAlignment="1">
      <alignment horizontal="right" vertical="center" wrapText="1"/>
    </xf>
    <xf numFmtId="210" fontId="33" fillId="0" borderId="0" xfId="61" applyNumberFormat="1" applyFont="1" applyFill="1" applyAlignment="1">
      <alignment horizontal="left" vertical="center"/>
    </xf>
    <xf numFmtId="210" fontId="35" fillId="0" borderId="0" xfId="61" applyNumberFormat="1" applyFont="1" applyFill="1" applyAlignment="1">
      <alignment horizontal="left" vertical="center"/>
    </xf>
    <xf numFmtId="210" fontId="43" fillId="0" borderId="0" xfId="61" applyNumberFormat="1" applyFont="1" applyFill="1" applyBorder="1" applyAlignment="1">
      <alignment horizontal="right" vertical="center"/>
    </xf>
    <xf numFmtId="210" fontId="35" fillId="0" borderId="0" xfId="61" applyNumberFormat="1" applyFont="1" applyFill="1" applyBorder="1" applyAlignment="1">
      <alignment horizontal="right" vertical="center"/>
    </xf>
    <xf numFmtId="210" fontId="34" fillId="0" borderId="0" xfId="61" applyNumberFormat="1" applyFont="1" applyFill="1" applyAlignment="1">
      <alignment horizontal="left" vertical="center" wrapText="1"/>
    </xf>
    <xf numFmtId="210" fontId="33" fillId="0" borderId="0" xfId="61" applyNumberFormat="1" applyFont="1" applyFill="1" applyBorder="1" applyAlignment="1">
      <alignment horizontal="right" vertical="center"/>
    </xf>
    <xf numFmtId="210" fontId="12" fillId="0" borderId="0" xfId="61" applyNumberFormat="1" applyFont="1" applyFill="1" applyAlignment="1">
      <alignment horizontal="left" vertical="center"/>
    </xf>
    <xf numFmtId="210" fontId="9" fillId="0" borderId="0" xfId="61" applyNumberFormat="1" applyFont="1" applyAlignment="1">
      <alignment vertical="center"/>
    </xf>
    <xf numFmtId="210" fontId="6" fillId="0" borderId="19" xfId="61" applyNumberFormat="1" applyFont="1" applyFill="1" applyBorder="1" applyAlignment="1">
      <alignment horizontal="center" vertical="center"/>
    </xf>
    <xf numFmtId="210" fontId="8" fillId="0" borderId="27" xfId="61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210" fontId="82" fillId="0" borderId="10" xfId="61" applyNumberFormat="1" applyFont="1" applyFill="1" applyBorder="1" applyAlignment="1">
      <alignment horizontal="right" vertical="center"/>
    </xf>
    <xf numFmtId="208" fontId="82" fillId="0" borderId="10" xfId="0" applyNumberFormat="1" applyFont="1" applyFill="1" applyBorder="1" applyAlignment="1" applyProtection="1">
      <alignment horizontal="right" vertical="center" wrapText="1"/>
      <protection/>
    </xf>
    <xf numFmtId="210" fontId="82" fillId="0" borderId="10" xfId="0" applyNumberFormat="1" applyFont="1" applyFill="1" applyBorder="1" applyAlignment="1">
      <alignment horizontal="right" vertical="center" wrapText="1"/>
    </xf>
    <xf numFmtId="210" fontId="83" fillId="0" borderId="10" xfId="61" applyNumberFormat="1" applyFont="1" applyFill="1" applyBorder="1" applyAlignment="1">
      <alignment horizontal="right" vertical="center" wrapText="1"/>
    </xf>
    <xf numFmtId="210" fontId="83" fillId="0" borderId="10" xfId="61" applyNumberFormat="1" applyFont="1" applyFill="1" applyBorder="1" applyAlignment="1">
      <alignment horizontal="right" vertical="center"/>
    </xf>
    <xf numFmtId="208" fontId="83" fillId="0" borderId="10" xfId="0" applyNumberFormat="1" applyFont="1" applyFill="1" applyBorder="1" applyAlignment="1" applyProtection="1">
      <alignment horizontal="right" vertical="center" wrapText="1"/>
      <protection/>
    </xf>
    <xf numFmtId="210" fontId="82" fillId="0" borderId="10" xfId="61" applyNumberFormat="1" applyFont="1" applyBorder="1" applyAlignment="1">
      <alignment horizontal="right" vertical="center" wrapText="1"/>
    </xf>
    <xf numFmtId="210" fontId="83" fillId="0" borderId="10" xfId="61" applyNumberFormat="1" applyFont="1" applyBorder="1" applyAlignment="1">
      <alignment horizontal="right" vertical="center" wrapText="1"/>
    </xf>
    <xf numFmtId="210" fontId="83" fillId="0" borderId="10" xfId="61" applyNumberFormat="1" applyFont="1" applyBorder="1" applyAlignment="1">
      <alignment horizontal="right" vertical="center"/>
    </xf>
    <xf numFmtId="210" fontId="82" fillId="0" borderId="10" xfId="61" applyNumberFormat="1" applyFont="1" applyFill="1" applyBorder="1" applyAlignment="1">
      <alignment horizontal="right" vertical="center" wrapText="1"/>
    </xf>
    <xf numFmtId="210" fontId="83" fillId="0" borderId="10" xfId="0" applyNumberFormat="1" applyFont="1" applyFill="1" applyBorder="1" applyAlignment="1">
      <alignment horizontal="right" vertical="center" wrapText="1"/>
    </xf>
    <xf numFmtId="210" fontId="83" fillId="0" borderId="10" xfId="0" applyNumberFormat="1" applyFont="1" applyBorder="1" applyAlignment="1">
      <alignment horizontal="right" vertical="center" wrapText="1"/>
    </xf>
    <xf numFmtId="210" fontId="83" fillId="0" borderId="10" xfId="0" applyNumberFormat="1" applyFont="1" applyFill="1" applyBorder="1" applyAlignment="1">
      <alignment horizontal="right" vertical="center"/>
    </xf>
    <xf numFmtId="210" fontId="82" fillId="0" borderId="10" xfId="0" applyNumberFormat="1" applyFont="1" applyFill="1" applyBorder="1" applyAlignment="1">
      <alignment horizontal="right" vertical="center"/>
    </xf>
    <xf numFmtId="210" fontId="82" fillId="0" borderId="11" xfId="61" applyNumberFormat="1" applyFont="1" applyBorder="1" applyAlignment="1">
      <alignment horizontal="right" vertical="center"/>
    </xf>
    <xf numFmtId="208" fontId="82" fillId="0" borderId="11" xfId="0" applyNumberFormat="1" applyFont="1" applyFill="1" applyBorder="1" applyAlignment="1" applyProtection="1">
      <alignment horizontal="right" vertical="center" wrapText="1"/>
      <protection/>
    </xf>
    <xf numFmtId="210" fontId="83" fillId="0" borderId="10" xfId="61" applyNumberFormat="1" applyFont="1" applyBorder="1" applyAlignment="1">
      <alignment vertical="center"/>
    </xf>
    <xf numFmtId="210" fontId="83" fillId="0" borderId="11" xfId="61" applyNumberFormat="1" applyFont="1" applyBorder="1" applyAlignment="1">
      <alignment horizontal="right" vertical="center"/>
    </xf>
    <xf numFmtId="208" fontId="83" fillId="0" borderId="11" xfId="0" applyNumberFormat="1" applyFont="1" applyFill="1" applyBorder="1" applyAlignment="1" applyProtection="1">
      <alignment horizontal="right" vertical="center" wrapText="1"/>
      <protection/>
    </xf>
    <xf numFmtId="210" fontId="82" fillId="0" borderId="10" xfId="61" applyNumberFormat="1" applyFont="1" applyBorder="1" applyAlignment="1">
      <alignment horizontal="right" vertical="center"/>
    </xf>
    <xf numFmtId="210" fontId="82" fillId="0" borderId="10" xfId="61" applyNumberFormat="1" applyFont="1" applyBorder="1" applyAlignment="1">
      <alignment vertical="center"/>
    </xf>
    <xf numFmtId="211" fontId="83" fillId="0" borderId="10" xfId="0" applyNumberFormat="1" applyFont="1" applyFill="1" applyBorder="1" applyAlignment="1" applyProtection="1">
      <alignment horizontal="right" vertical="center" wrapText="1"/>
      <protection/>
    </xf>
    <xf numFmtId="211" fontId="82" fillId="0" borderId="10" xfId="61" applyNumberFormat="1" applyFont="1" applyBorder="1" applyAlignment="1">
      <alignment horizontal="right" vertical="center"/>
    </xf>
    <xf numFmtId="211" fontId="82" fillId="0" borderId="11" xfId="61" applyNumberFormat="1" applyFont="1" applyBorder="1" applyAlignment="1">
      <alignment horizontal="right" vertical="center"/>
    </xf>
    <xf numFmtId="210" fontId="83" fillId="0" borderId="10" xfId="61" applyNumberFormat="1" applyFont="1" applyFill="1" applyBorder="1" applyAlignment="1">
      <alignment horizontal="center" vertical="center"/>
    </xf>
    <xf numFmtId="210" fontId="83" fillId="0" borderId="10" xfId="61" applyNumberFormat="1" applyFont="1" applyFill="1" applyBorder="1" applyAlignment="1">
      <alignment horizontal="center" vertical="center" wrapText="1"/>
    </xf>
    <xf numFmtId="210" fontId="82" fillId="0" borderId="10" xfId="61" applyNumberFormat="1" applyFont="1" applyFill="1" applyBorder="1" applyAlignment="1">
      <alignment horizontal="center" vertical="center"/>
    </xf>
    <xf numFmtId="210" fontId="82" fillId="0" borderId="10" xfId="61" applyNumberFormat="1" applyFont="1" applyFill="1" applyBorder="1" applyAlignment="1">
      <alignment horizontal="center" vertical="center" wrapText="1"/>
    </xf>
    <xf numFmtId="210" fontId="83" fillId="0" borderId="10" xfId="0" applyNumberFormat="1" applyFont="1" applyFill="1" applyBorder="1" applyAlignment="1">
      <alignment horizontal="center" vertical="center"/>
    </xf>
    <xf numFmtId="210" fontId="82" fillId="0" borderId="10" xfId="0" applyNumberFormat="1" applyFont="1" applyFill="1" applyBorder="1" applyAlignment="1">
      <alignment horizontal="center" vertical="center"/>
    </xf>
    <xf numFmtId="210" fontId="83" fillId="0" borderId="10" xfId="0" applyNumberFormat="1" applyFont="1" applyFill="1" applyBorder="1" applyAlignment="1">
      <alignment horizontal="center" vertical="center" wrapText="1"/>
    </xf>
    <xf numFmtId="210" fontId="82" fillId="0" borderId="10" xfId="0" applyNumberFormat="1" applyFont="1" applyFill="1" applyBorder="1" applyAlignment="1">
      <alignment horizontal="center" vertical="center" wrapText="1"/>
    </xf>
    <xf numFmtId="211" fontId="82" fillId="0" borderId="11" xfId="0" applyNumberFormat="1" applyFont="1" applyFill="1" applyBorder="1" applyAlignment="1" applyProtection="1">
      <alignment horizontal="right" vertical="center" wrapText="1"/>
      <protection/>
    </xf>
    <xf numFmtId="211" fontId="83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 applyProtection="1">
      <alignment vertical="center" wrapText="1"/>
      <protection/>
    </xf>
    <xf numFmtId="210" fontId="83" fillId="0" borderId="14" xfId="61" applyNumberFormat="1" applyFont="1" applyFill="1" applyBorder="1" applyAlignment="1">
      <alignment horizontal="center" vertical="center"/>
    </xf>
    <xf numFmtId="210" fontId="83" fillId="0" borderId="15" xfId="61" applyNumberFormat="1" applyFont="1" applyFill="1" applyBorder="1" applyAlignment="1">
      <alignment horizontal="center" vertical="center"/>
    </xf>
    <xf numFmtId="210" fontId="83" fillId="0" borderId="26" xfId="61" applyNumberFormat="1" applyFont="1" applyFill="1" applyBorder="1" applyAlignment="1">
      <alignment horizontal="center" vertical="center"/>
    </xf>
    <xf numFmtId="210" fontId="82" fillId="0" borderId="13" xfId="61" applyNumberFormat="1" applyFont="1" applyBorder="1" applyAlignment="1">
      <alignment horizontal="center" vertical="center"/>
    </xf>
    <xf numFmtId="210" fontId="82" fillId="0" borderId="0" xfId="61" applyNumberFormat="1" applyFont="1" applyBorder="1" applyAlignment="1">
      <alignment horizontal="center" vertical="center"/>
    </xf>
    <xf numFmtId="210" fontId="82" fillId="0" borderId="13" xfId="61" applyNumberFormat="1" applyFont="1" applyFill="1" applyBorder="1" applyAlignment="1">
      <alignment horizontal="center" vertical="center" wrapText="1"/>
    </xf>
    <xf numFmtId="210" fontId="82" fillId="0" borderId="13" xfId="61" applyNumberFormat="1" applyFont="1" applyFill="1" applyBorder="1" applyAlignment="1">
      <alignment horizontal="center" vertical="center"/>
    </xf>
    <xf numFmtId="210" fontId="82" fillId="0" borderId="16" xfId="61" applyNumberFormat="1" applyFont="1" applyFill="1" applyBorder="1" applyAlignment="1">
      <alignment horizontal="center" vertical="center" wrapText="1"/>
    </xf>
    <xf numFmtId="210" fontId="83" fillId="0" borderId="13" xfId="61" applyNumberFormat="1" applyFont="1" applyFill="1" applyBorder="1" applyAlignment="1">
      <alignment horizontal="center" vertical="center" wrapText="1"/>
    </xf>
    <xf numFmtId="210" fontId="82" fillId="0" borderId="11" xfId="61" applyNumberFormat="1" applyFont="1" applyFill="1" applyBorder="1" applyAlignment="1">
      <alignment horizontal="center" vertical="center" wrapText="1"/>
    </xf>
    <xf numFmtId="210" fontId="82" fillId="0" borderId="17" xfId="61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/>
    </xf>
    <xf numFmtId="196" fontId="6" fillId="0" borderId="30" xfId="0" applyNumberFormat="1" applyFont="1" applyBorder="1" applyAlignment="1">
      <alignment horizontal="center" vertical="center"/>
    </xf>
    <xf numFmtId="196" fontId="6" fillId="0" borderId="31" xfId="0" applyNumberFormat="1" applyFont="1" applyBorder="1" applyAlignment="1">
      <alignment horizontal="center" vertical="center"/>
    </xf>
    <xf numFmtId="196" fontId="6" fillId="0" borderId="32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196" fontId="6" fillId="0" borderId="30" xfId="0" applyNumberFormat="1" applyFont="1" applyFill="1" applyBorder="1" applyAlignment="1">
      <alignment horizontal="center" vertical="center"/>
    </xf>
    <xf numFmtId="196" fontId="6" fillId="0" borderId="31" xfId="0" applyNumberFormat="1" applyFont="1" applyFill="1" applyBorder="1" applyAlignment="1">
      <alignment horizontal="center" vertical="center"/>
    </xf>
    <xf numFmtId="196" fontId="6" fillId="0" borderId="32" xfId="0" applyNumberFormat="1" applyFont="1" applyFill="1" applyBorder="1" applyAlignment="1">
      <alignment horizontal="center" vertical="center"/>
    </xf>
    <xf numFmtId="196" fontId="8" fillId="0" borderId="31" xfId="0" applyNumberFormat="1" applyFont="1" applyFill="1" applyBorder="1" applyAlignment="1">
      <alignment horizontal="center" vertical="center"/>
    </xf>
    <xf numFmtId="196" fontId="8" fillId="0" borderId="32" xfId="0" applyNumberFormat="1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02" fontId="8" fillId="33" borderId="30" xfId="0" applyNumberFormat="1" applyFont="1" applyFill="1" applyBorder="1" applyAlignment="1">
      <alignment horizontal="center" vertical="center"/>
    </xf>
    <xf numFmtId="202" fontId="8" fillId="33" borderId="31" xfId="0" applyNumberFormat="1" applyFont="1" applyFill="1" applyBorder="1" applyAlignment="1">
      <alignment horizontal="center" vertical="center"/>
    </xf>
    <xf numFmtId="202" fontId="8" fillId="33" borderId="32" xfId="0" applyNumberFormat="1" applyFont="1" applyFill="1" applyBorder="1" applyAlignment="1">
      <alignment horizontal="center" vertical="center"/>
    </xf>
    <xf numFmtId="202" fontId="6" fillId="33" borderId="30" xfId="0" applyNumberFormat="1" applyFont="1" applyFill="1" applyBorder="1" applyAlignment="1">
      <alignment horizontal="center" vertical="center"/>
    </xf>
    <xf numFmtId="202" fontId="6" fillId="33" borderId="31" xfId="0" applyNumberFormat="1" applyFont="1" applyFill="1" applyBorder="1" applyAlignment="1">
      <alignment horizontal="center" vertical="center"/>
    </xf>
    <xf numFmtId="202" fontId="6" fillId="33" borderId="32" xfId="0" applyNumberFormat="1" applyFont="1" applyFill="1" applyBorder="1" applyAlignment="1">
      <alignment horizontal="center" vertical="center"/>
    </xf>
    <xf numFmtId="202" fontId="6" fillId="0" borderId="30" xfId="0" applyNumberFormat="1" applyFont="1" applyFill="1" applyBorder="1" applyAlignment="1">
      <alignment horizontal="center" vertical="center"/>
    </xf>
    <xf numFmtId="202" fontId="6" fillId="0" borderId="31" xfId="0" applyNumberFormat="1" applyFont="1" applyFill="1" applyBorder="1" applyAlignment="1">
      <alignment horizontal="center" vertical="center"/>
    </xf>
    <xf numFmtId="202" fontId="6" fillId="0" borderId="32" xfId="0" applyNumberFormat="1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 wrapText="1"/>
    </xf>
    <xf numFmtId="202" fontId="6" fillId="33" borderId="28" xfId="0" applyNumberFormat="1" applyFont="1" applyFill="1" applyBorder="1" applyAlignment="1">
      <alignment horizontal="center" vertical="center"/>
    </xf>
    <xf numFmtId="202" fontId="6" fillId="33" borderId="35" xfId="0" applyNumberFormat="1" applyFont="1" applyFill="1" applyBorder="1" applyAlignment="1">
      <alignment horizontal="center" vertical="center"/>
    </xf>
    <xf numFmtId="202" fontId="6" fillId="33" borderId="36" xfId="0" applyNumberFormat="1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210" fontId="6" fillId="33" borderId="28" xfId="61" applyNumberFormat="1" applyFont="1" applyFill="1" applyBorder="1" applyAlignment="1">
      <alignment horizontal="center" vertical="center"/>
    </xf>
    <xf numFmtId="210" fontId="6" fillId="33" borderId="35" xfId="61" applyNumberFormat="1" applyFont="1" applyFill="1" applyBorder="1" applyAlignment="1">
      <alignment horizontal="center" vertical="center"/>
    </xf>
    <xf numFmtId="210" fontId="6" fillId="0" borderId="31" xfId="61" applyNumberFormat="1" applyFont="1" applyFill="1" applyBorder="1" applyAlignment="1">
      <alignment horizontal="center" vertical="center"/>
    </xf>
    <xf numFmtId="210" fontId="8" fillId="33" borderId="31" xfId="61" applyNumberFormat="1" applyFont="1" applyFill="1" applyBorder="1" applyAlignment="1">
      <alignment horizontal="center" vertical="center"/>
    </xf>
    <xf numFmtId="210" fontId="8" fillId="33" borderId="32" xfId="61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distributed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экономическ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9"/>
  <sheetViews>
    <sheetView zoomScalePageLayoutView="0" workbookViewId="0" topLeftCell="A5">
      <pane xSplit="2" ySplit="5" topLeftCell="C397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J421" sqref="J421"/>
    </sheetView>
  </sheetViews>
  <sheetFormatPr defaultColWidth="9.00390625" defaultRowHeight="12.75"/>
  <cols>
    <col min="1" max="1" width="55.75390625" style="134" customWidth="1"/>
    <col min="2" max="2" width="7.875" style="34" customWidth="1"/>
    <col min="3" max="5" width="11.00390625" style="216" customWidth="1"/>
    <col min="6" max="6" width="10.125" style="216" customWidth="1"/>
    <col min="7" max="7" width="6.125" style="39" customWidth="1"/>
    <col min="8" max="10" width="11.00390625" style="212" customWidth="1"/>
    <col min="11" max="11" width="10.00390625" style="212" customWidth="1"/>
    <col min="12" max="12" width="6.125" style="37" customWidth="1"/>
    <col min="13" max="15" width="11.00390625" style="192" customWidth="1"/>
    <col min="16" max="16" width="9.625" style="192" customWidth="1"/>
    <col min="17" max="17" width="6.125" style="40" customWidth="1"/>
    <col min="18" max="16384" width="9.125" style="134" customWidth="1"/>
  </cols>
  <sheetData>
    <row r="1" spans="3:12" ht="12" customHeight="1" hidden="1">
      <c r="C1" s="214"/>
      <c r="D1" s="214"/>
      <c r="E1" s="214"/>
      <c r="F1" s="215"/>
      <c r="G1" s="36"/>
      <c r="H1" s="211"/>
      <c r="I1" s="211"/>
      <c r="L1" s="37" t="s">
        <v>18</v>
      </c>
    </row>
    <row r="2" ht="15.75" customHeight="1" hidden="1">
      <c r="L2" s="37" t="s">
        <v>17</v>
      </c>
    </row>
    <row r="3" ht="15.75" customHeight="1" hidden="1">
      <c r="L3" s="37" t="s">
        <v>19</v>
      </c>
    </row>
    <row r="4" ht="15.75" customHeight="1" hidden="1"/>
    <row r="5" spans="1:17" s="154" customFormat="1" ht="27" customHeight="1">
      <c r="A5" s="385" t="s">
        <v>31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</row>
    <row r="6" spans="1:17" s="154" customFormat="1" ht="22.5" customHeight="1">
      <c r="A6" s="385" t="s">
        <v>557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</row>
    <row r="7" spans="1:17" ht="18.75" customHeight="1" thickBot="1">
      <c r="A7" s="182" t="s">
        <v>563</v>
      </c>
      <c r="B7" s="170"/>
      <c r="C7" s="217"/>
      <c r="D7" s="217"/>
      <c r="E7" s="217"/>
      <c r="F7" s="217"/>
      <c r="G7" s="170"/>
      <c r="H7" s="193"/>
      <c r="I7" s="193"/>
      <c r="J7" s="193"/>
      <c r="K7" s="193"/>
      <c r="L7" s="170"/>
      <c r="M7" s="193"/>
      <c r="N7" s="194"/>
      <c r="O7" s="195"/>
      <c r="P7" s="196" t="s">
        <v>32</v>
      </c>
      <c r="Q7" s="68"/>
    </row>
    <row r="8" spans="1:17" ht="22.5" customHeight="1">
      <c r="A8" s="383" t="s">
        <v>23</v>
      </c>
      <c r="B8" s="389" t="s">
        <v>564</v>
      </c>
      <c r="C8" s="391" t="s">
        <v>35</v>
      </c>
      <c r="D8" s="392"/>
      <c r="E8" s="392"/>
      <c r="F8" s="392"/>
      <c r="G8" s="393"/>
      <c r="H8" s="391" t="s">
        <v>34</v>
      </c>
      <c r="I8" s="392"/>
      <c r="J8" s="394"/>
      <c r="K8" s="394"/>
      <c r="L8" s="395"/>
      <c r="M8" s="386" t="s">
        <v>30</v>
      </c>
      <c r="N8" s="387"/>
      <c r="O8" s="387"/>
      <c r="P8" s="387"/>
      <c r="Q8" s="388"/>
    </row>
    <row r="9" spans="1:17" s="135" customFormat="1" ht="24" customHeight="1" thickBot="1">
      <c r="A9" s="384"/>
      <c r="B9" s="390"/>
      <c r="C9" s="218" t="s">
        <v>559</v>
      </c>
      <c r="D9" s="219" t="s">
        <v>560</v>
      </c>
      <c r="E9" s="220" t="s">
        <v>561</v>
      </c>
      <c r="F9" s="220" t="s">
        <v>565</v>
      </c>
      <c r="G9" s="169" t="s">
        <v>13</v>
      </c>
      <c r="H9" s="197" t="s">
        <v>559</v>
      </c>
      <c r="I9" s="198" t="s">
        <v>560</v>
      </c>
      <c r="J9" s="199" t="s">
        <v>561</v>
      </c>
      <c r="K9" s="199" t="s">
        <v>565</v>
      </c>
      <c r="L9" s="169" t="s">
        <v>13</v>
      </c>
      <c r="M9" s="197" t="s">
        <v>559</v>
      </c>
      <c r="N9" s="198" t="s">
        <v>560</v>
      </c>
      <c r="O9" s="199" t="s">
        <v>561</v>
      </c>
      <c r="P9" s="199" t="s">
        <v>565</v>
      </c>
      <c r="Q9" s="169" t="s">
        <v>13</v>
      </c>
    </row>
    <row r="10" spans="1:17" s="69" customFormat="1" ht="22.5" customHeight="1">
      <c r="A10" s="70" t="s">
        <v>38</v>
      </c>
      <c r="B10" s="73" t="s">
        <v>37</v>
      </c>
      <c r="C10" s="221">
        <f>C13+C236+C240+C262</f>
        <v>140932490.6</v>
      </c>
      <c r="D10" s="221">
        <f>D13+D236+D240+D262</f>
        <v>154769200.29999998</v>
      </c>
      <c r="E10" s="221">
        <f>E13+E236+E240+E262</f>
        <v>149502041.218</v>
      </c>
      <c r="F10" s="222">
        <f>E10-D10</f>
        <v>-5267159.081999987</v>
      </c>
      <c r="G10" s="82">
        <f>E10/D10*100</f>
        <v>96.59676533070515</v>
      </c>
      <c r="H10" s="200">
        <f>H13+H236+H240+H262</f>
        <v>126828552.6</v>
      </c>
      <c r="I10" s="200">
        <f>I13+I236+I240+I262</f>
        <v>139889140.29999998</v>
      </c>
      <c r="J10" s="200">
        <f>J13+J236+J240+J262</f>
        <v>134707341.414</v>
      </c>
      <c r="K10" s="201">
        <f>J10-I10</f>
        <v>-5181798.885999978</v>
      </c>
      <c r="L10" s="82">
        <f>J10/I10*100</f>
        <v>96.29578187778742</v>
      </c>
      <c r="M10" s="200">
        <f>M13+M236+M240+M262</f>
        <v>19372099</v>
      </c>
      <c r="N10" s="200">
        <f>N13+N236+N240+N262</f>
        <v>20345681.799999997</v>
      </c>
      <c r="O10" s="200">
        <f>O13+O236+O240+O262</f>
        <v>20251186.974999998</v>
      </c>
      <c r="P10" s="201">
        <f>O10-N10</f>
        <v>-94494.82499999925</v>
      </c>
      <c r="Q10" s="82">
        <f>O10/N10*100</f>
        <v>99.53555341163353</v>
      </c>
    </row>
    <row r="11" spans="1:17" s="144" customFormat="1" ht="22.5" customHeight="1">
      <c r="A11" s="89" t="s">
        <v>230</v>
      </c>
      <c r="B11" s="174"/>
      <c r="C11" s="223">
        <f>C10-C240</f>
        <v>127996627</v>
      </c>
      <c r="D11" s="223">
        <f>D10-D240</f>
        <v>139948247.7</v>
      </c>
      <c r="E11" s="223">
        <f>E10-E240</f>
        <v>136035541.024</v>
      </c>
      <c r="F11" s="224">
        <f aca="true" t="shared" si="0" ref="F11:F74">E11-D11</f>
        <v>-3912706.675999999</v>
      </c>
      <c r="G11" s="151">
        <f aca="true" t="shared" si="1" ref="G11:G74">E11/D11*100</f>
        <v>97.20417601484553</v>
      </c>
      <c r="H11" s="202">
        <f>H10-H240</f>
        <v>113892689</v>
      </c>
      <c r="I11" s="202">
        <f>I10-I240</f>
        <v>125068187.69999999</v>
      </c>
      <c r="J11" s="202">
        <f>J10-J240</f>
        <v>121239241.22</v>
      </c>
      <c r="K11" s="205">
        <f aca="true" t="shared" si="2" ref="K11:K74">J11-I11</f>
        <v>-3828946.4799999893</v>
      </c>
      <c r="L11" s="150">
        <f aca="true" t="shared" si="3" ref="L11:L74">J11/I11*100</f>
        <v>96.9385128621321</v>
      </c>
      <c r="M11" s="202">
        <f>M10-M240</f>
        <v>14103938</v>
      </c>
      <c r="N11" s="202">
        <f>N10-N240</f>
        <v>14880059.999999996</v>
      </c>
      <c r="O11" s="202">
        <f>O10-O240</f>
        <v>14796299.803999998</v>
      </c>
      <c r="P11" s="203">
        <f aca="true" t="shared" si="4" ref="P11:P74">O11-N11</f>
        <v>-83760.1959999986</v>
      </c>
      <c r="Q11" s="151">
        <f aca="true" t="shared" si="5" ref="Q11:Q74">O11/N11*100</f>
        <v>99.43709772675649</v>
      </c>
    </row>
    <row r="12" spans="1:17" s="71" customFormat="1" ht="22.5" customHeight="1">
      <c r="A12" s="74" t="s">
        <v>355</v>
      </c>
      <c r="B12" s="64"/>
      <c r="C12" s="225">
        <f>C14+C263</f>
        <v>74725430.1</v>
      </c>
      <c r="D12" s="225">
        <f>D14+D263</f>
        <v>75221085.19999999</v>
      </c>
      <c r="E12" s="225">
        <f>E14+E263</f>
        <v>73461340.472</v>
      </c>
      <c r="F12" s="226">
        <f t="shared" si="0"/>
        <v>-1759744.7279999852</v>
      </c>
      <c r="G12" s="150">
        <f t="shared" si="1"/>
        <v>97.66056987436286</v>
      </c>
      <c r="H12" s="204">
        <f>H14+H263</f>
        <v>61576926.1</v>
      </c>
      <c r="I12" s="204">
        <f>I14+I263</f>
        <v>61576926.1</v>
      </c>
      <c r="J12" s="204">
        <f>J14+J263</f>
        <v>59954861.503</v>
      </c>
      <c r="K12" s="205">
        <f t="shared" si="2"/>
        <v>-1622064.5970000029</v>
      </c>
      <c r="L12" s="150">
        <f t="shared" si="3"/>
        <v>97.36579153956826</v>
      </c>
      <c r="M12" s="204">
        <f>M14+M263</f>
        <v>13148504</v>
      </c>
      <c r="N12" s="204">
        <f>N14+N263</f>
        <v>13644159.1</v>
      </c>
      <c r="O12" s="204">
        <f>O14+O263</f>
        <v>13506478.969</v>
      </c>
      <c r="P12" s="205">
        <f t="shared" si="4"/>
        <v>-137680.13099999912</v>
      </c>
      <c r="Q12" s="150">
        <f t="shared" si="5"/>
        <v>98.99092256260776</v>
      </c>
    </row>
    <row r="13" spans="1:17" s="57" customFormat="1" ht="22.5" customHeight="1">
      <c r="A13" s="66" t="s">
        <v>40</v>
      </c>
      <c r="B13" s="58" t="s">
        <v>39</v>
      </c>
      <c r="C13" s="227">
        <f>C16+C39+C53+C172+C231</f>
        <v>105294097</v>
      </c>
      <c r="D13" s="227">
        <f>D16+D39+D53+D172+D231</f>
        <v>107128494.6</v>
      </c>
      <c r="E13" s="227">
        <f>E16+E39+E53+E172+E231</f>
        <v>103367975.30499999</v>
      </c>
      <c r="F13" s="226">
        <f t="shared" si="0"/>
        <v>-3760519.295000002</v>
      </c>
      <c r="G13" s="150">
        <f t="shared" si="1"/>
        <v>96.48971143574718</v>
      </c>
      <c r="H13" s="206">
        <f>H16+H39+H53+H172+H231</f>
        <v>93198367</v>
      </c>
      <c r="I13" s="206">
        <f>I16+I39+I53+I172+I231</f>
        <v>94998367</v>
      </c>
      <c r="J13" s="206">
        <f>J16+J39+J53+J172+J231</f>
        <v>91462768.168</v>
      </c>
      <c r="K13" s="205">
        <f t="shared" si="2"/>
        <v>-3535598.8320000023</v>
      </c>
      <c r="L13" s="150">
        <f t="shared" si="3"/>
        <v>96.27825304407601</v>
      </c>
      <c r="M13" s="206">
        <f>M16+M39+M53+M172+M231</f>
        <v>12095730</v>
      </c>
      <c r="N13" s="206">
        <f>N16+N39+N53+N172+N231</f>
        <v>12130127.6</v>
      </c>
      <c r="O13" s="206">
        <f>O16+O39+O53+O172+O231</f>
        <v>11905207.137</v>
      </c>
      <c r="P13" s="205">
        <f t="shared" si="4"/>
        <v>-224920.46299999952</v>
      </c>
      <c r="Q13" s="150">
        <f t="shared" si="5"/>
        <v>98.14577001646711</v>
      </c>
    </row>
    <row r="14" spans="1:17" s="59" customFormat="1" ht="22.5" customHeight="1">
      <c r="A14" s="66" t="s">
        <v>356</v>
      </c>
      <c r="B14" s="58"/>
      <c r="C14" s="228">
        <f aca="true" t="shared" si="6" ref="C14:E15">H14+M14</f>
        <v>72353708</v>
      </c>
      <c r="D14" s="228">
        <f t="shared" si="6"/>
        <v>72388105.6</v>
      </c>
      <c r="E14" s="228">
        <f t="shared" si="6"/>
        <v>69188242.76</v>
      </c>
      <c r="F14" s="226">
        <f t="shared" si="0"/>
        <v>-3199862.8399999887</v>
      </c>
      <c r="G14" s="150">
        <f t="shared" si="1"/>
        <v>95.57957372488556</v>
      </c>
      <c r="H14" s="213">
        <v>60257978</v>
      </c>
      <c r="I14" s="213">
        <v>60257978</v>
      </c>
      <c r="J14" s="205">
        <v>57283035.621</v>
      </c>
      <c r="K14" s="203">
        <f t="shared" si="2"/>
        <v>-2974942.3790000007</v>
      </c>
      <c r="L14" s="151">
        <f t="shared" si="3"/>
        <v>95.06299003428227</v>
      </c>
      <c r="M14" s="207">
        <v>12095730</v>
      </c>
      <c r="N14" s="207">
        <v>12130127.6</v>
      </c>
      <c r="O14" s="207">
        <v>11905207.139</v>
      </c>
      <c r="P14" s="203">
        <f t="shared" si="4"/>
        <v>-224920.4609999992</v>
      </c>
      <c r="Q14" s="151">
        <f t="shared" si="5"/>
        <v>98.14577003295499</v>
      </c>
    </row>
    <row r="15" spans="1:17" s="59" customFormat="1" ht="22.5" customHeight="1">
      <c r="A15" s="66" t="s">
        <v>357</v>
      </c>
      <c r="B15" s="58"/>
      <c r="C15" s="228">
        <f t="shared" si="6"/>
        <v>32940389</v>
      </c>
      <c r="D15" s="228">
        <f t="shared" si="6"/>
        <v>34740389</v>
      </c>
      <c r="E15" s="228">
        <f t="shared" si="6"/>
        <v>34179732.548</v>
      </c>
      <c r="F15" s="226">
        <f t="shared" si="0"/>
        <v>-560656.4519999996</v>
      </c>
      <c r="G15" s="150">
        <f t="shared" si="1"/>
        <v>98.38615378774256</v>
      </c>
      <c r="H15" s="213">
        <v>32940389</v>
      </c>
      <c r="I15" s="213">
        <v>34740389</v>
      </c>
      <c r="J15" s="205">
        <v>34179732.548</v>
      </c>
      <c r="K15" s="203">
        <f t="shared" si="2"/>
        <v>-560656.4519999996</v>
      </c>
      <c r="L15" s="151">
        <f t="shared" si="3"/>
        <v>98.38615378774256</v>
      </c>
      <c r="M15" s="207"/>
      <c r="N15" s="207"/>
      <c r="O15" s="207"/>
      <c r="P15" s="337">
        <f t="shared" si="4"/>
        <v>0</v>
      </c>
      <c r="Q15" s="338" t="e">
        <f t="shared" si="5"/>
        <v>#DIV/0!</v>
      </c>
    </row>
    <row r="16" spans="1:17" s="60" customFormat="1" ht="22.5" customHeight="1">
      <c r="A16" s="66" t="s">
        <v>42</v>
      </c>
      <c r="B16" s="58" t="s">
        <v>41</v>
      </c>
      <c r="C16" s="227">
        <f>C17+C27+C36</f>
        <v>26049792</v>
      </c>
      <c r="D16" s="227">
        <f>D17+D27+D36</f>
        <v>25274942.4</v>
      </c>
      <c r="E16" s="227">
        <f>E17+E27+E36</f>
        <v>24392339.691</v>
      </c>
      <c r="F16" s="226">
        <f t="shared" si="0"/>
        <v>-882602.7089999989</v>
      </c>
      <c r="G16" s="150">
        <f t="shared" si="1"/>
        <v>96.50799319329013</v>
      </c>
      <c r="H16" s="206">
        <f>H17+H27+H36</f>
        <v>18507392</v>
      </c>
      <c r="I16" s="206">
        <f>I17+I27+I36</f>
        <v>17787265.4</v>
      </c>
      <c r="J16" s="206">
        <f>J17+J27+J36</f>
        <v>17276193.327</v>
      </c>
      <c r="K16" s="205">
        <f t="shared" si="2"/>
        <v>-511072.0729999989</v>
      </c>
      <c r="L16" s="150">
        <f t="shared" si="3"/>
        <v>97.12675298025295</v>
      </c>
      <c r="M16" s="206">
        <f>M17+M27+M36</f>
        <v>7542400</v>
      </c>
      <c r="N16" s="206">
        <f>N17+N27+N36</f>
        <v>7487677</v>
      </c>
      <c r="O16" s="206">
        <f>O17+O27+O36</f>
        <v>7116146.364</v>
      </c>
      <c r="P16" s="205">
        <f t="shared" si="4"/>
        <v>-371530.63599999994</v>
      </c>
      <c r="Q16" s="150">
        <f t="shared" si="5"/>
        <v>95.03810546314966</v>
      </c>
    </row>
    <row r="17" spans="1:17" s="61" customFormat="1" ht="22.5" customHeight="1">
      <c r="A17" s="66" t="s">
        <v>42</v>
      </c>
      <c r="B17" s="65">
        <v>1111</v>
      </c>
      <c r="C17" s="227">
        <f>C18+C21+C23</f>
        <v>17513892</v>
      </c>
      <c r="D17" s="227">
        <f>D18+D21+D23</f>
        <v>16593765.4</v>
      </c>
      <c r="E17" s="227">
        <f>E18+E21+E23</f>
        <v>15411228.73</v>
      </c>
      <c r="F17" s="226">
        <f t="shared" si="0"/>
        <v>-1182536.67</v>
      </c>
      <c r="G17" s="150">
        <f t="shared" si="1"/>
        <v>92.87360860242124</v>
      </c>
      <c r="H17" s="206">
        <f>H18+H21+H23</f>
        <v>12755592</v>
      </c>
      <c r="I17" s="206">
        <f>I18+I21+I23</f>
        <v>11835465.4</v>
      </c>
      <c r="J17" s="206">
        <f>J18+J21+J23</f>
        <v>10824104.697</v>
      </c>
      <c r="K17" s="205">
        <f t="shared" si="2"/>
        <v>-1011360.7029999997</v>
      </c>
      <c r="L17" s="150">
        <f t="shared" si="3"/>
        <v>91.45482945689656</v>
      </c>
      <c r="M17" s="206">
        <f>M18+M21+M23</f>
        <v>4758300</v>
      </c>
      <c r="N17" s="206">
        <f>N18+N21+N23</f>
        <v>4758300</v>
      </c>
      <c r="O17" s="206">
        <f>O18+O21+O23</f>
        <v>4587124.033</v>
      </c>
      <c r="P17" s="205">
        <f t="shared" si="4"/>
        <v>-171175.96700000018</v>
      </c>
      <c r="Q17" s="150">
        <f t="shared" si="5"/>
        <v>96.40258144715548</v>
      </c>
    </row>
    <row r="18" spans="1:17" s="62" customFormat="1" ht="22.5" customHeight="1">
      <c r="A18" s="66" t="s">
        <v>43</v>
      </c>
      <c r="B18" s="65">
        <v>11111</v>
      </c>
      <c r="C18" s="227">
        <f>C19+C20</f>
        <v>9516600</v>
      </c>
      <c r="D18" s="227">
        <f>D19+D20</f>
        <v>9516600</v>
      </c>
      <c r="E18" s="227">
        <f>E19+E20</f>
        <v>9174247.687</v>
      </c>
      <c r="F18" s="226">
        <f t="shared" si="0"/>
        <v>-342352.31299999915</v>
      </c>
      <c r="G18" s="150">
        <f t="shared" si="1"/>
        <v>96.40257746464074</v>
      </c>
      <c r="H18" s="206">
        <f>H19+H20</f>
        <v>4758300</v>
      </c>
      <c r="I18" s="206">
        <f>I19+I20</f>
        <v>4758300</v>
      </c>
      <c r="J18" s="206">
        <f>J19+J20</f>
        <v>4587123.654</v>
      </c>
      <c r="K18" s="205">
        <f t="shared" si="2"/>
        <v>-171176.3459999999</v>
      </c>
      <c r="L18" s="150">
        <f t="shared" si="3"/>
        <v>96.40257348212597</v>
      </c>
      <c r="M18" s="206">
        <f>M19+M20</f>
        <v>4758300</v>
      </c>
      <c r="N18" s="206">
        <f>N19+N20</f>
        <v>4758300</v>
      </c>
      <c r="O18" s="206">
        <f>O19+O20</f>
        <v>4587124.033</v>
      </c>
      <c r="P18" s="205">
        <f t="shared" si="4"/>
        <v>-171175.96700000018</v>
      </c>
      <c r="Q18" s="150">
        <f t="shared" si="5"/>
        <v>96.40258144715548</v>
      </c>
    </row>
    <row r="19" spans="1:17" s="63" customFormat="1" ht="22.5" customHeight="1">
      <c r="A19" s="67" t="s">
        <v>312</v>
      </c>
      <c r="B19" s="56">
        <v>11111100</v>
      </c>
      <c r="C19" s="223">
        <f aca="true" t="shared" si="7" ref="C19:E20">H19+M19</f>
        <v>9516600</v>
      </c>
      <c r="D19" s="223">
        <f t="shared" si="7"/>
        <v>9516600</v>
      </c>
      <c r="E19" s="223">
        <f t="shared" si="7"/>
        <v>9132781.409</v>
      </c>
      <c r="F19" s="224">
        <f t="shared" si="0"/>
        <v>-383818.591</v>
      </c>
      <c r="G19" s="151">
        <f t="shared" si="1"/>
        <v>95.96685170123783</v>
      </c>
      <c r="H19" s="208">
        <v>4758300</v>
      </c>
      <c r="I19" s="208">
        <v>4758300</v>
      </c>
      <c r="J19" s="208">
        <v>4566390.513</v>
      </c>
      <c r="K19" s="203">
        <f t="shared" si="2"/>
        <v>-191909.48699999973</v>
      </c>
      <c r="L19" s="151">
        <f t="shared" si="3"/>
        <v>95.96684767669126</v>
      </c>
      <c r="M19" s="208">
        <v>4758300</v>
      </c>
      <c r="N19" s="208">
        <v>4758300</v>
      </c>
      <c r="O19" s="208">
        <v>4566390.896</v>
      </c>
      <c r="P19" s="203">
        <f t="shared" si="4"/>
        <v>-191909.10400000028</v>
      </c>
      <c r="Q19" s="151">
        <f t="shared" si="5"/>
        <v>95.96685572578441</v>
      </c>
    </row>
    <row r="20" spans="1:17" s="47" customFormat="1" ht="22.5" customHeight="1">
      <c r="A20" s="67" t="s">
        <v>313</v>
      </c>
      <c r="B20" s="56">
        <v>11111200</v>
      </c>
      <c r="C20" s="339">
        <f t="shared" si="7"/>
        <v>0</v>
      </c>
      <c r="D20" s="339">
        <f t="shared" si="7"/>
        <v>0</v>
      </c>
      <c r="E20" s="223">
        <f t="shared" si="7"/>
        <v>41466.278</v>
      </c>
      <c r="F20" s="224">
        <f t="shared" si="0"/>
        <v>41466.278</v>
      </c>
      <c r="G20" s="338" t="e">
        <f t="shared" si="1"/>
        <v>#DIV/0!</v>
      </c>
      <c r="H20" s="208"/>
      <c r="I20" s="208"/>
      <c r="J20" s="208">
        <v>20733.141</v>
      </c>
      <c r="K20" s="203">
        <f t="shared" si="2"/>
        <v>20733.141</v>
      </c>
      <c r="L20" s="338" t="e">
        <f t="shared" si="3"/>
        <v>#DIV/0!</v>
      </c>
      <c r="M20" s="208"/>
      <c r="N20" s="208"/>
      <c r="O20" s="208">
        <v>20733.137</v>
      </c>
      <c r="P20" s="203">
        <f t="shared" si="4"/>
        <v>20733.137</v>
      </c>
      <c r="Q20" s="338" t="e">
        <f t="shared" si="5"/>
        <v>#DIV/0!</v>
      </c>
    </row>
    <row r="21" spans="1:17" s="48" customFormat="1" ht="22.5" customHeight="1">
      <c r="A21" s="66" t="s">
        <v>235</v>
      </c>
      <c r="B21" s="65">
        <v>11112</v>
      </c>
      <c r="C21" s="228">
        <f>C22</f>
        <v>1965492</v>
      </c>
      <c r="D21" s="228">
        <f>D22</f>
        <v>1965492</v>
      </c>
      <c r="E21" s="228">
        <f>E22</f>
        <v>1935692.335</v>
      </c>
      <c r="F21" s="226">
        <f t="shared" si="0"/>
        <v>-29799.665000000037</v>
      </c>
      <c r="G21" s="150">
        <f t="shared" si="1"/>
        <v>98.48385722251732</v>
      </c>
      <c r="H21" s="209">
        <f>H22</f>
        <v>1965492</v>
      </c>
      <c r="I21" s="209">
        <f>I22</f>
        <v>1965492</v>
      </c>
      <c r="J21" s="209">
        <f>J22</f>
        <v>1935692.335</v>
      </c>
      <c r="K21" s="205">
        <f t="shared" si="2"/>
        <v>-29799.665000000037</v>
      </c>
      <c r="L21" s="150">
        <f t="shared" si="3"/>
        <v>98.48385722251732</v>
      </c>
      <c r="M21" s="340">
        <f>M22</f>
        <v>0</v>
      </c>
      <c r="N21" s="340">
        <f>N22</f>
        <v>0</v>
      </c>
      <c r="O21" s="340">
        <f>O22</f>
        <v>0</v>
      </c>
      <c r="P21" s="341">
        <f t="shared" si="4"/>
        <v>0</v>
      </c>
      <c r="Q21" s="342" t="e">
        <f t="shared" si="5"/>
        <v>#DIV/0!</v>
      </c>
    </row>
    <row r="22" spans="1:17" s="63" customFormat="1" ht="22.5" customHeight="1">
      <c r="A22" s="67" t="s">
        <v>235</v>
      </c>
      <c r="B22" s="56">
        <v>11112100</v>
      </c>
      <c r="C22" s="223">
        <f>H22+M22</f>
        <v>1965492</v>
      </c>
      <c r="D22" s="223">
        <f>I22+N22</f>
        <v>1965492</v>
      </c>
      <c r="E22" s="223">
        <f>J22+O22</f>
        <v>1935692.335</v>
      </c>
      <c r="F22" s="224">
        <f t="shared" si="0"/>
        <v>-29799.665000000037</v>
      </c>
      <c r="G22" s="151">
        <f t="shared" si="1"/>
        <v>98.48385722251732</v>
      </c>
      <c r="H22" s="208">
        <v>1965492</v>
      </c>
      <c r="I22" s="208">
        <v>1965492</v>
      </c>
      <c r="J22" s="208">
        <v>1935692.335</v>
      </c>
      <c r="K22" s="203">
        <f t="shared" si="2"/>
        <v>-29799.665000000037</v>
      </c>
      <c r="L22" s="151">
        <f t="shared" si="3"/>
        <v>98.48385722251732</v>
      </c>
      <c r="M22" s="343"/>
      <c r="N22" s="343"/>
      <c r="O22" s="343"/>
      <c r="P22" s="337">
        <f t="shared" si="4"/>
        <v>0</v>
      </c>
      <c r="Q22" s="338" t="e">
        <f t="shared" si="5"/>
        <v>#DIV/0!</v>
      </c>
    </row>
    <row r="23" spans="1:17" s="45" customFormat="1" ht="22.5" customHeight="1">
      <c r="A23" s="66" t="s">
        <v>44</v>
      </c>
      <c r="B23" s="65">
        <v>11113</v>
      </c>
      <c r="C23" s="227">
        <f>C24+C25+C26</f>
        <v>6031800</v>
      </c>
      <c r="D23" s="227">
        <f>D24+D25+D26</f>
        <v>5111673.4</v>
      </c>
      <c r="E23" s="227">
        <f>E24+E25+E26</f>
        <v>4301288.708000001</v>
      </c>
      <c r="F23" s="226">
        <f t="shared" si="0"/>
        <v>-810384.6919999998</v>
      </c>
      <c r="G23" s="150">
        <f t="shared" si="1"/>
        <v>84.14639143416322</v>
      </c>
      <c r="H23" s="206">
        <f>H24+H25+H26</f>
        <v>6031800</v>
      </c>
      <c r="I23" s="206">
        <f>I24+I25+I26</f>
        <v>5111673.4</v>
      </c>
      <c r="J23" s="206">
        <f>J24+J25+J26</f>
        <v>4301288.708000001</v>
      </c>
      <c r="K23" s="205">
        <f t="shared" si="2"/>
        <v>-810384.6919999998</v>
      </c>
      <c r="L23" s="150">
        <f t="shared" si="3"/>
        <v>84.14639143416322</v>
      </c>
      <c r="M23" s="344">
        <f>M24+M25+M26</f>
        <v>0</v>
      </c>
      <c r="N23" s="344">
        <f>N24+N25+N26</f>
        <v>0</v>
      </c>
      <c r="O23" s="344">
        <f>O24+O25+O26</f>
        <v>0</v>
      </c>
      <c r="P23" s="341">
        <f t="shared" si="4"/>
        <v>0</v>
      </c>
      <c r="Q23" s="342" t="e">
        <f t="shared" si="5"/>
        <v>#DIV/0!</v>
      </c>
    </row>
    <row r="24" spans="1:17" s="47" customFormat="1" ht="22.5" customHeight="1">
      <c r="A24" s="67" t="s">
        <v>44</v>
      </c>
      <c r="B24" s="56">
        <v>11113100</v>
      </c>
      <c r="C24" s="223">
        <f aca="true" t="shared" si="8" ref="C24:E26">H24+M24</f>
        <v>5809600</v>
      </c>
      <c r="D24" s="223">
        <f t="shared" si="8"/>
        <v>4859473.4</v>
      </c>
      <c r="E24" s="223">
        <f t="shared" si="8"/>
        <v>4053315.231</v>
      </c>
      <c r="F24" s="224">
        <f t="shared" si="0"/>
        <v>-806158.1690000002</v>
      </c>
      <c r="G24" s="151">
        <f t="shared" si="1"/>
        <v>83.41058582602797</v>
      </c>
      <c r="H24" s="208">
        <v>5809600</v>
      </c>
      <c r="I24" s="208">
        <v>4859473.4</v>
      </c>
      <c r="J24" s="208">
        <v>4053315.231</v>
      </c>
      <c r="K24" s="203">
        <f t="shared" si="2"/>
        <v>-806158.1690000002</v>
      </c>
      <c r="L24" s="151">
        <f t="shared" si="3"/>
        <v>83.41058582602797</v>
      </c>
      <c r="M24" s="343"/>
      <c r="N24" s="343"/>
      <c r="O24" s="343"/>
      <c r="P24" s="337">
        <f t="shared" si="4"/>
        <v>0</v>
      </c>
      <c r="Q24" s="338" t="e">
        <f t="shared" si="5"/>
        <v>#DIV/0!</v>
      </c>
    </row>
    <row r="25" spans="1:17" s="47" customFormat="1" ht="22.5" customHeight="1">
      <c r="A25" s="67" t="s">
        <v>8</v>
      </c>
      <c r="B25" s="56">
        <v>11113200</v>
      </c>
      <c r="C25" s="223">
        <f t="shared" si="8"/>
        <v>160000</v>
      </c>
      <c r="D25" s="223">
        <f t="shared" si="8"/>
        <v>160000</v>
      </c>
      <c r="E25" s="223">
        <f t="shared" si="8"/>
        <v>137551.077</v>
      </c>
      <c r="F25" s="224">
        <f t="shared" si="0"/>
        <v>-22448.92300000001</v>
      </c>
      <c r="G25" s="151">
        <f t="shared" si="1"/>
        <v>85.96942312499999</v>
      </c>
      <c r="H25" s="208">
        <v>160000</v>
      </c>
      <c r="I25" s="208">
        <v>160000</v>
      </c>
      <c r="J25" s="208">
        <v>137551.077</v>
      </c>
      <c r="K25" s="203">
        <f t="shared" si="2"/>
        <v>-22448.92300000001</v>
      </c>
      <c r="L25" s="151">
        <f t="shared" si="3"/>
        <v>85.96942312499999</v>
      </c>
      <c r="M25" s="343"/>
      <c r="N25" s="343"/>
      <c r="O25" s="343"/>
      <c r="P25" s="337">
        <f t="shared" si="4"/>
        <v>0</v>
      </c>
      <c r="Q25" s="338" t="e">
        <f t="shared" si="5"/>
        <v>#DIV/0!</v>
      </c>
    </row>
    <row r="26" spans="1:17" s="47" customFormat="1" ht="22.5" customHeight="1">
      <c r="A26" s="67" t="s">
        <v>367</v>
      </c>
      <c r="B26" s="56">
        <v>11113300</v>
      </c>
      <c r="C26" s="223">
        <f t="shared" si="8"/>
        <v>62200</v>
      </c>
      <c r="D26" s="223">
        <f t="shared" si="8"/>
        <v>92200</v>
      </c>
      <c r="E26" s="223">
        <f t="shared" si="8"/>
        <v>110422.4</v>
      </c>
      <c r="F26" s="224">
        <f t="shared" si="0"/>
        <v>18222.399999999994</v>
      </c>
      <c r="G26" s="151">
        <f t="shared" si="1"/>
        <v>119.7639913232104</v>
      </c>
      <c r="H26" s="208">
        <v>62200</v>
      </c>
      <c r="I26" s="208">
        <v>92200</v>
      </c>
      <c r="J26" s="208">
        <v>110422.4</v>
      </c>
      <c r="K26" s="203">
        <f t="shared" si="2"/>
        <v>18222.399999999994</v>
      </c>
      <c r="L26" s="151">
        <f t="shared" si="3"/>
        <v>119.7639913232104</v>
      </c>
      <c r="M26" s="343"/>
      <c r="N26" s="343"/>
      <c r="O26" s="343"/>
      <c r="P26" s="337">
        <f t="shared" si="4"/>
        <v>0</v>
      </c>
      <c r="Q26" s="338" t="e">
        <f t="shared" si="5"/>
        <v>#DIV/0!</v>
      </c>
    </row>
    <row r="27" spans="1:17" s="45" customFormat="1" ht="22.5" customHeight="1">
      <c r="A27" s="66" t="s">
        <v>314</v>
      </c>
      <c r="B27" s="65">
        <v>1112</v>
      </c>
      <c r="C27" s="227">
        <f>C28+C30+C33</f>
        <v>2784100</v>
      </c>
      <c r="D27" s="227">
        <f>D28+D30+D33</f>
        <v>2729377</v>
      </c>
      <c r="E27" s="227">
        <f>E28+E30+E33</f>
        <v>2529022.331</v>
      </c>
      <c r="F27" s="226">
        <f t="shared" si="0"/>
        <v>-200354.66900000023</v>
      </c>
      <c r="G27" s="150">
        <f t="shared" si="1"/>
        <v>92.65932595606982</v>
      </c>
      <c r="H27" s="344">
        <f>H28+H30+H33</f>
        <v>0</v>
      </c>
      <c r="I27" s="344">
        <f>I28+I30+I33</f>
        <v>0</v>
      </c>
      <c r="J27" s="344">
        <f>J28+J30+J33</f>
        <v>0</v>
      </c>
      <c r="K27" s="341">
        <f t="shared" si="2"/>
        <v>0</v>
      </c>
      <c r="L27" s="342" t="e">
        <f t="shared" si="3"/>
        <v>#DIV/0!</v>
      </c>
      <c r="M27" s="206">
        <f>M28+M30+M33</f>
        <v>2784100</v>
      </c>
      <c r="N27" s="206">
        <f>N28+N30+N33</f>
        <v>2729377</v>
      </c>
      <c r="O27" s="206">
        <f>O28+O30+O33</f>
        <v>2529022.331</v>
      </c>
      <c r="P27" s="205">
        <f t="shared" si="4"/>
        <v>-200354.66900000023</v>
      </c>
      <c r="Q27" s="150">
        <f t="shared" si="5"/>
        <v>92.65932595606982</v>
      </c>
    </row>
    <row r="28" spans="1:17" s="48" customFormat="1" ht="22.5" customHeight="1">
      <c r="A28" s="66" t="s">
        <v>236</v>
      </c>
      <c r="B28" s="65">
        <v>11121</v>
      </c>
      <c r="C28" s="228">
        <f>C29</f>
        <v>234640</v>
      </c>
      <c r="D28" s="228">
        <f>D29</f>
        <v>229620</v>
      </c>
      <c r="E28" s="228">
        <f>E29</f>
        <v>202421.928</v>
      </c>
      <c r="F28" s="226">
        <f t="shared" si="0"/>
        <v>-27198.071999999986</v>
      </c>
      <c r="G28" s="150">
        <f t="shared" si="1"/>
        <v>88.15518160438987</v>
      </c>
      <c r="H28" s="340">
        <f>H29</f>
        <v>0</v>
      </c>
      <c r="I28" s="340">
        <f>I29</f>
        <v>0</v>
      </c>
      <c r="J28" s="340">
        <f>J29</f>
        <v>0</v>
      </c>
      <c r="K28" s="341">
        <f t="shared" si="2"/>
        <v>0</v>
      </c>
      <c r="L28" s="342" t="e">
        <f t="shared" si="3"/>
        <v>#DIV/0!</v>
      </c>
      <c r="M28" s="209">
        <f>M29</f>
        <v>234640</v>
      </c>
      <c r="N28" s="209">
        <f>N29</f>
        <v>229620</v>
      </c>
      <c r="O28" s="209">
        <f>O29</f>
        <v>202421.928</v>
      </c>
      <c r="P28" s="205">
        <f t="shared" si="4"/>
        <v>-27198.071999999986</v>
      </c>
      <c r="Q28" s="150">
        <f t="shared" si="5"/>
        <v>88.15518160438987</v>
      </c>
    </row>
    <row r="29" spans="1:17" s="48" customFormat="1" ht="22.5" customHeight="1">
      <c r="A29" s="67" t="s">
        <v>28</v>
      </c>
      <c r="B29" s="56">
        <v>11121100</v>
      </c>
      <c r="C29" s="223">
        <f>H29+M29</f>
        <v>234640</v>
      </c>
      <c r="D29" s="223">
        <f>I29+N29</f>
        <v>229620</v>
      </c>
      <c r="E29" s="223">
        <f aca="true" t="shared" si="9" ref="E29:E34">J29+O29</f>
        <v>202421.928</v>
      </c>
      <c r="F29" s="224">
        <f t="shared" si="0"/>
        <v>-27198.071999999986</v>
      </c>
      <c r="G29" s="151">
        <f t="shared" si="1"/>
        <v>88.15518160438987</v>
      </c>
      <c r="H29" s="343"/>
      <c r="I29" s="343"/>
      <c r="J29" s="343"/>
      <c r="K29" s="337">
        <f t="shared" si="2"/>
        <v>0</v>
      </c>
      <c r="L29" s="338" t="e">
        <f t="shared" si="3"/>
        <v>#DIV/0!</v>
      </c>
      <c r="M29" s="208">
        <v>234640</v>
      </c>
      <c r="N29" s="208">
        <v>229620</v>
      </c>
      <c r="O29" s="208">
        <v>202421.928</v>
      </c>
      <c r="P29" s="203">
        <f t="shared" si="4"/>
        <v>-27198.071999999986</v>
      </c>
      <c r="Q29" s="151">
        <f t="shared" si="5"/>
        <v>88.15518160438987</v>
      </c>
    </row>
    <row r="30" spans="1:17" s="48" customFormat="1" ht="22.5" customHeight="1">
      <c r="A30" s="66" t="s">
        <v>315</v>
      </c>
      <c r="B30" s="65">
        <v>11122</v>
      </c>
      <c r="C30" s="228">
        <f>C31+C32</f>
        <v>2549460</v>
      </c>
      <c r="D30" s="228">
        <f>D31+D32</f>
        <v>2499757</v>
      </c>
      <c r="E30" s="228">
        <f>E31+E32</f>
        <v>2326600.403</v>
      </c>
      <c r="F30" s="226">
        <f t="shared" si="0"/>
        <v>-173156.59700000007</v>
      </c>
      <c r="G30" s="150">
        <f t="shared" si="1"/>
        <v>93.07306282170626</v>
      </c>
      <c r="H30" s="340">
        <f>H31+H32</f>
        <v>0</v>
      </c>
      <c r="I30" s="340">
        <f>I31+I32</f>
        <v>0</v>
      </c>
      <c r="J30" s="340">
        <f>J31+J32</f>
        <v>0</v>
      </c>
      <c r="K30" s="341">
        <f t="shared" si="2"/>
        <v>0</v>
      </c>
      <c r="L30" s="342" t="e">
        <f t="shared" si="3"/>
        <v>#DIV/0!</v>
      </c>
      <c r="M30" s="209">
        <f>M31+M32</f>
        <v>2549460</v>
      </c>
      <c r="N30" s="209">
        <f>N31+N32</f>
        <v>2499757</v>
      </c>
      <c r="O30" s="209">
        <f>O31+O32</f>
        <v>2326600.403</v>
      </c>
      <c r="P30" s="205">
        <f t="shared" si="4"/>
        <v>-173156.59700000007</v>
      </c>
      <c r="Q30" s="150">
        <f t="shared" si="5"/>
        <v>93.07306282170626</v>
      </c>
    </row>
    <row r="31" spans="1:17" s="48" customFormat="1" ht="22.5" customHeight="1">
      <c r="A31" s="67" t="s">
        <v>316</v>
      </c>
      <c r="B31" s="56">
        <v>11122100</v>
      </c>
      <c r="C31" s="223">
        <f>H31+M31</f>
        <v>314460</v>
      </c>
      <c r="D31" s="223">
        <f>I31+N31</f>
        <v>274462.6</v>
      </c>
      <c r="E31" s="223">
        <f t="shared" si="9"/>
        <v>265222.304</v>
      </c>
      <c r="F31" s="224">
        <f t="shared" si="0"/>
        <v>-9240.295999999973</v>
      </c>
      <c r="G31" s="151">
        <f t="shared" si="1"/>
        <v>96.6333132455934</v>
      </c>
      <c r="H31" s="343"/>
      <c r="I31" s="343"/>
      <c r="J31" s="343"/>
      <c r="K31" s="337">
        <f t="shared" si="2"/>
        <v>0</v>
      </c>
      <c r="L31" s="338" t="e">
        <f t="shared" si="3"/>
        <v>#DIV/0!</v>
      </c>
      <c r="M31" s="208">
        <v>314460</v>
      </c>
      <c r="N31" s="208">
        <v>274462.6</v>
      </c>
      <c r="O31" s="208">
        <v>265222.304</v>
      </c>
      <c r="P31" s="203">
        <f t="shared" si="4"/>
        <v>-9240.295999999973</v>
      </c>
      <c r="Q31" s="151">
        <f t="shared" si="5"/>
        <v>96.6333132455934</v>
      </c>
    </row>
    <row r="32" spans="1:17" s="48" customFormat="1" ht="22.5" customHeight="1">
      <c r="A32" s="67" t="s">
        <v>317</v>
      </c>
      <c r="B32" s="56">
        <v>11122200</v>
      </c>
      <c r="C32" s="223">
        <f>H32+M32</f>
        <v>2235000</v>
      </c>
      <c r="D32" s="223">
        <f>I32+N32</f>
        <v>2225294.4</v>
      </c>
      <c r="E32" s="223">
        <f>J32+O32</f>
        <v>2061378.099</v>
      </c>
      <c r="F32" s="224">
        <f t="shared" si="0"/>
        <v>-163916.30099999998</v>
      </c>
      <c r="G32" s="151">
        <f t="shared" si="1"/>
        <v>92.63394987198097</v>
      </c>
      <c r="H32" s="343"/>
      <c r="I32" s="343"/>
      <c r="J32" s="343"/>
      <c r="K32" s="337">
        <f t="shared" si="2"/>
        <v>0</v>
      </c>
      <c r="L32" s="338" t="e">
        <f t="shared" si="3"/>
        <v>#DIV/0!</v>
      </c>
      <c r="M32" s="208">
        <v>2235000</v>
      </c>
      <c r="N32" s="208">
        <v>2225294.4</v>
      </c>
      <c r="O32" s="208">
        <v>2061378.099</v>
      </c>
      <c r="P32" s="203">
        <f t="shared" si="4"/>
        <v>-163916.30099999998</v>
      </c>
      <c r="Q32" s="151">
        <f t="shared" si="5"/>
        <v>92.63394987198097</v>
      </c>
    </row>
    <row r="33" spans="1:17" s="48" customFormat="1" ht="22.5" customHeight="1" hidden="1">
      <c r="A33" s="66" t="s">
        <v>318</v>
      </c>
      <c r="B33" s="65">
        <v>11123</v>
      </c>
      <c r="C33" s="228">
        <f>C34+C35</f>
        <v>0</v>
      </c>
      <c r="D33" s="228">
        <f>D34+D35</f>
        <v>0</v>
      </c>
      <c r="E33" s="228">
        <f>E34+E35</f>
        <v>0</v>
      </c>
      <c r="F33" s="226">
        <f t="shared" si="0"/>
        <v>0</v>
      </c>
      <c r="G33" s="150" t="e">
        <f t="shared" si="1"/>
        <v>#DIV/0!</v>
      </c>
      <c r="H33" s="209">
        <f>H34+H35</f>
        <v>0</v>
      </c>
      <c r="I33" s="209">
        <f>I34+I35</f>
        <v>0</v>
      </c>
      <c r="J33" s="209">
        <f>J34+J35</f>
        <v>0</v>
      </c>
      <c r="K33" s="205">
        <f t="shared" si="2"/>
        <v>0</v>
      </c>
      <c r="L33" s="150" t="e">
        <f t="shared" si="3"/>
        <v>#DIV/0!</v>
      </c>
      <c r="M33" s="209">
        <f>M34+M35</f>
        <v>0</v>
      </c>
      <c r="N33" s="209">
        <f>N34+N35</f>
        <v>0</v>
      </c>
      <c r="O33" s="209">
        <f>O34+O35</f>
        <v>0</v>
      </c>
      <c r="P33" s="205">
        <f t="shared" si="4"/>
        <v>0</v>
      </c>
      <c r="Q33" s="150" t="e">
        <f t="shared" si="5"/>
        <v>#DIV/0!</v>
      </c>
    </row>
    <row r="34" spans="1:17" s="48" customFormat="1" ht="22.5" customHeight="1" hidden="1">
      <c r="A34" s="67" t="s">
        <v>363</v>
      </c>
      <c r="B34" s="56">
        <v>11123100</v>
      </c>
      <c r="C34" s="223">
        <f>H34+M34</f>
        <v>0</v>
      </c>
      <c r="D34" s="223">
        <f>I34+N34</f>
        <v>0</v>
      </c>
      <c r="E34" s="223">
        <f t="shared" si="9"/>
        <v>0</v>
      </c>
      <c r="F34" s="224">
        <f t="shared" si="0"/>
        <v>0</v>
      </c>
      <c r="G34" s="151" t="e">
        <f t="shared" si="1"/>
        <v>#DIV/0!</v>
      </c>
      <c r="H34" s="208"/>
      <c r="I34" s="208"/>
      <c r="J34" s="208"/>
      <c r="K34" s="203">
        <f t="shared" si="2"/>
        <v>0</v>
      </c>
      <c r="L34" s="151" t="e">
        <f t="shared" si="3"/>
        <v>#DIV/0!</v>
      </c>
      <c r="M34" s="208"/>
      <c r="N34" s="208"/>
      <c r="O34" s="208"/>
      <c r="P34" s="203">
        <f t="shared" si="4"/>
        <v>0</v>
      </c>
      <c r="Q34" s="151" t="e">
        <f t="shared" si="5"/>
        <v>#DIV/0!</v>
      </c>
    </row>
    <row r="35" spans="1:17" s="48" customFormat="1" ht="22.5" customHeight="1" hidden="1">
      <c r="A35" s="67" t="s">
        <v>364</v>
      </c>
      <c r="B35" s="56">
        <v>11123200</v>
      </c>
      <c r="C35" s="223">
        <f>H35+M35</f>
        <v>0</v>
      </c>
      <c r="D35" s="223">
        <f>I35+N35</f>
        <v>0</v>
      </c>
      <c r="E35" s="223">
        <f>J35+O35</f>
        <v>0</v>
      </c>
      <c r="F35" s="224">
        <f t="shared" si="0"/>
        <v>0</v>
      </c>
      <c r="G35" s="151" t="e">
        <f t="shared" si="1"/>
        <v>#DIV/0!</v>
      </c>
      <c r="H35" s="208"/>
      <c r="I35" s="208"/>
      <c r="J35" s="208"/>
      <c r="K35" s="203">
        <f t="shared" si="2"/>
        <v>0</v>
      </c>
      <c r="L35" s="151" t="e">
        <f t="shared" si="3"/>
        <v>#DIV/0!</v>
      </c>
      <c r="M35" s="208"/>
      <c r="N35" s="208"/>
      <c r="O35" s="208"/>
      <c r="P35" s="203">
        <f t="shared" si="4"/>
        <v>0</v>
      </c>
      <c r="Q35" s="151" t="e">
        <f t="shared" si="5"/>
        <v>#DIV/0!</v>
      </c>
    </row>
    <row r="36" spans="1:17" s="48" customFormat="1" ht="22.5" customHeight="1">
      <c r="A36" s="66" t="s">
        <v>353</v>
      </c>
      <c r="B36" s="65">
        <v>1113</v>
      </c>
      <c r="C36" s="228">
        <f aca="true" t="shared" si="10" ref="C36:E37">C37</f>
        <v>5751800</v>
      </c>
      <c r="D36" s="228">
        <f t="shared" si="10"/>
        <v>5951800</v>
      </c>
      <c r="E36" s="228">
        <f t="shared" si="10"/>
        <v>6452088.63</v>
      </c>
      <c r="F36" s="226">
        <f t="shared" si="0"/>
        <v>500288.6299999999</v>
      </c>
      <c r="G36" s="150">
        <f t="shared" si="1"/>
        <v>108.40566937733122</v>
      </c>
      <c r="H36" s="209">
        <f aca="true" t="shared" si="11" ref="H36:J37">H37</f>
        <v>5751800</v>
      </c>
      <c r="I36" s="209">
        <f t="shared" si="11"/>
        <v>5951800</v>
      </c>
      <c r="J36" s="209">
        <f t="shared" si="11"/>
        <v>6452088.63</v>
      </c>
      <c r="K36" s="205">
        <f t="shared" si="2"/>
        <v>500288.6299999999</v>
      </c>
      <c r="L36" s="150">
        <f t="shared" si="3"/>
        <v>108.40566937733122</v>
      </c>
      <c r="M36" s="340">
        <f aca="true" t="shared" si="12" ref="M36:O37">M37</f>
        <v>0</v>
      </c>
      <c r="N36" s="340">
        <f t="shared" si="12"/>
        <v>0</v>
      </c>
      <c r="O36" s="340">
        <f t="shared" si="12"/>
        <v>0</v>
      </c>
      <c r="P36" s="341">
        <f t="shared" si="4"/>
        <v>0</v>
      </c>
      <c r="Q36" s="342" t="e">
        <f t="shared" si="5"/>
        <v>#DIV/0!</v>
      </c>
    </row>
    <row r="37" spans="1:17" s="48" customFormat="1" ht="22.5" customHeight="1">
      <c r="A37" s="66" t="s">
        <v>354</v>
      </c>
      <c r="B37" s="65">
        <v>11131</v>
      </c>
      <c r="C37" s="228">
        <f t="shared" si="10"/>
        <v>5751800</v>
      </c>
      <c r="D37" s="228">
        <f t="shared" si="10"/>
        <v>5951800</v>
      </c>
      <c r="E37" s="228">
        <f t="shared" si="10"/>
        <v>6452088.63</v>
      </c>
      <c r="F37" s="226">
        <f t="shared" si="0"/>
        <v>500288.6299999999</v>
      </c>
      <c r="G37" s="150">
        <f t="shared" si="1"/>
        <v>108.40566937733122</v>
      </c>
      <c r="H37" s="209">
        <f t="shared" si="11"/>
        <v>5751800</v>
      </c>
      <c r="I37" s="209">
        <f t="shared" si="11"/>
        <v>5951800</v>
      </c>
      <c r="J37" s="209">
        <f t="shared" si="11"/>
        <v>6452088.63</v>
      </c>
      <c r="K37" s="205">
        <f t="shared" si="2"/>
        <v>500288.6299999999</v>
      </c>
      <c r="L37" s="150">
        <f t="shared" si="3"/>
        <v>108.40566937733122</v>
      </c>
      <c r="M37" s="340">
        <f t="shared" si="12"/>
        <v>0</v>
      </c>
      <c r="N37" s="340">
        <f t="shared" si="12"/>
        <v>0</v>
      </c>
      <c r="O37" s="340">
        <f t="shared" si="12"/>
        <v>0</v>
      </c>
      <c r="P37" s="341">
        <f t="shared" si="4"/>
        <v>0</v>
      </c>
      <c r="Q37" s="342" t="e">
        <f t="shared" si="5"/>
        <v>#DIV/0!</v>
      </c>
    </row>
    <row r="38" spans="1:17" s="48" customFormat="1" ht="22.5" customHeight="1">
      <c r="A38" s="67" t="s">
        <v>354</v>
      </c>
      <c r="B38" s="56">
        <v>11131100</v>
      </c>
      <c r="C38" s="223">
        <f>H38+M38</f>
        <v>5751800</v>
      </c>
      <c r="D38" s="223">
        <f>I38+N38</f>
        <v>5951800</v>
      </c>
      <c r="E38" s="223">
        <f>J38+O38</f>
        <v>6452088.63</v>
      </c>
      <c r="F38" s="224">
        <f t="shared" si="0"/>
        <v>500288.6299999999</v>
      </c>
      <c r="G38" s="151">
        <f t="shared" si="1"/>
        <v>108.40566937733122</v>
      </c>
      <c r="H38" s="208">
        <v>5751800</v>
      </c>
      <c r="I38" s="208">
        <v>5951800</v>
      </c>
      <c r="J38" s="208">
        <v>6452088.63</v>
      </c>
      <c r="K38" s="203">
        <f t="shared" si="2"/>
        <v>500288.6299999999</v>
      </c>
      <c r="L38" s="151">
        <f t="shared" si="3"/>
        <v>108.40566937733122</v>
      </c>
      <c r="M38" s="343"/>
      <c r="N38" s="343"/>
      <c r="O38" s="343"/>
      <c r="P38" s="337">
        <f t="shared" si="4"/>
        <v>0</v>
      </c>
      <c r="Q38" s="338" t="e">
        <f t="shared" si="5"/>
        <v>#DIV/0!</v>
      </c>
    </row>
    <row r="39" spans="1:17" s="44" customFormat="1" ht="22.5" customHeight="1">
      <c r="A39" s="66" t="s">
        <v>46</v>
      </c>
      <c r="B39" s="58" t="s">
        <v>45</v>
      </c>
      <c r="C39" s="227">
        <f>C40+C48</f>
        <v>2371950</v>
      </c>
      <c r="D39" s="227">
        <f>D40+D48</f>
        <v>2430720.2</v>
      </c>
      <c r="E39" s="227">
        <f>E40+E48</f>
        <v>2625091.946</v>
      </c>
      <c r="F39" s="226">
        <f t="shared" si="0"/>
        <v>194371.7459999998</v>
      </c>
      <c r="G39" s="150">
        <f t="shared" si="1"/>
        <v>107.99646730216006</v>
      </c>
      <c r="H39" s="344">
        <f>H40+H48</f>
        <v>0</v>
      </c>
      <c r="I39" s="344">
        <f>I40+I48</f>
        <v>0</v>
      </c>
      <c r="J39" s="344">
        <f>J40+J48</f>
        <v>0</v>
      </c>
      <c r="K39" s="341">
        <f t="shared" si="2"/>
        <v>0</v>
      </c>
      <c r="L39" s="342" t="e">
        <f t="shared" si="3"/>
        <v>#DIV/0!</v>
      </c>
      <c r="M39" s="206">
        <f>M40+M48</f>
        <v>2371950</v>
      </c>
      <c r="N39" s="206">
        <f>N40+N48</f>
        <v>2430720.2</v>
      </c>
      <c r="O39" s="206">
        <f>O40+O48</f>
        <v>2625091.946</v>
      </c>
      <c r="P39" s="205">
        <f t="shared" si="4"/>
        <v>194371.7459999998</v>
      </c>
      <c r="Q39" s="150">
        <f t="shared" si="5"/>
        <v>107.99646730216006</v>
      </c>
    </row>
    <row r="40" spans="1:17" s="45" customFormat="1" ht="22.5" customHeight="1">
      <c r="A40" s="66" t="s">
        <v>319</v>
      </c>
      <c r="B40" s="58" t="s">
        <v>47</v>
      </c>
      <c r="C40" s="227">
        <f>C41+C45</f>
        <v>1430293</v>
      </c>
      <c r="D40" s="227">
        <f>D41+D45</f>
        <v>1456725.9</v>
      </c>
      <c r="E40" s="227">
        <f>E41+E45</f>
        <v>1572909.412</v>
      </c>
      <c r="F40" s="226">
        <f t="shared" si="0"/>
        <v>116183.5120000001</v>
      </c>
      <c r="G40" s="150">
        <f t="shared" si="1"/>
        <v>107.97566048630014</v>
      </c>
      <c r="H40" s="344">
        <f>H41+H45</f>
        <v>0</v>
      </c>
      <c r="I40" s="344">
        <f>I41+I45</f>
        <v>0</v>
      </c>
      <c r="J40" s="344">
        <f>J41+J45</f>
        <v>0</v>
      </c>
      <c r="K40" s="341">
        <f t="shared" si="2"/>
        <v>0</v>
      </c>
      <c r="L40" s="342" t="e">
        <f t="shared" si="3"/>
        <v>#DIV/0!</v>
      </c>
      <c r="M40" s="206">
        <f>M41+M45</f>
        <v>1430293</v>
      </c>
      <c r="N40" s="206">
        <f>N41+N45</f>
        <v>1456725.9</v>
      </c>
      <c r="O40" s="206">
        <f>O41+O45</f>
        <v>1572909.412</v>
      </c>
      <c r="P40" s="205">
        <f t="shared" si="4"/>
        <v>116183.5120000001</v>
      </c>
      <c r="Q40" s="150">
        <f t="shared" si="5"/>
        <v>107.97566048630014</v>
      </c>
    </row>
    <row r="41" spans="1:17" s="48" customFormat="1" ht="22.5" customHeight="1">
      <c r="A41" s="66" t="s">
        <v>237</v>
      </c>
      <c r="B41" s="65">
        <v>11311</v>
      </c>
      <c r="C41" s="228">
        <f>C42+C43+C44</f>
        <v>697173.0000000001</v>
      </c>
      <c r="D41" s="228">
        <f>D42+D43+D44</f>
        <v>718612.4</v>
      </c>
      <c r="E41" s="228">
        <f>E42+E43+E44</f>
        <v>765887.349</v>
      </c>
      <c r="F41" s="226">
        <f t="shared" si="0"/>
        <v>47274.94900000002</v>
      </c>
      <c r="G41" s="150">
        <f t="shared" si="1"/>
        <v>106.57864364711769</v>
      </c>
      <c r="H41" s="340">
        <f>H42+H43+H44</f>
        <v>0</v>
      </c>
      <c r="I41" s="340">
        <f>I42+I43+I44</f>
        <v>0</v>
      </c>
      <c r="J41" s="340">
        <f>J42+J43+J44</f>
        <v>0</v>
      </c>
      <c r="K41" s="341">
        <f t="shared" si="2"/>
        <v>0</v>
      </c>
      <c r="L41" s="342" t="e">
        <f t="shared" si="3"/>
        <v>#DIV/0!</v>
      </c>
      <c r="M41" s="209">
        <f>M42+M43+M44</f>
        <v>697173.0000000001</v>
      </c>
      <c r="N41" s="209">
        <f>N42+N43+N44</f>
        <v>718612.4</v>
      </c>
      <c r="O41" s="209">
        <f>O42+O43+O44</f>
        <v>765887.349</v>
      </c>
      <c r="P41" s="205">
        <f t="shared" si="4"/>
        <v>47274.94900000002</v>
      </c>
      <c r="Q41" s="150">
        <f t="shared" si="5"/>
        <v>106.57864364711769</v>
      </c>
    </row>
    <row r="42" spans="1:17" s="48" customFormat="1" ht="22.5" customHeight="1">
      <c r="A42" s="67" t="s">
        <v>320</v>
      </c>
      <c r="B42" s="56">
        <v>11311100</v>
      </c>
      <c r="C42" s="223">
        <f aca="true" t="shared" si="13" ref="C42:E44">H42+M42</f>
        <v>57534.8</v>
      </c>
      <c r="D42" s="223">
        <f t="shared" si="13"/>
        <v>64472.8</v>
      </c>
      <c r="E42" s="223">
        <f t="shared" si="13"/>
        <v>69680.941</v>
      </c>
      <c r="F42" s="224">
        <f t="shared" si="0"/>
        <v>5208.141000000003</v>
      </c>
      <c r="G42" s="151">
        <f t="shared" si="1"/>
        <v>108.07804376419203</v>
      </c>
      <c r="H42" s="343"/>
      <c r="I42" s="343"/>
      <c r="J42" s="343"/>
      <c r="K42" s="337">
        <f t="shared" si="2"/>
        <v>0</v>
      </c>
      <c r="L42" s="338" t="e">
        <f t="shared" si="3"/>
        <v>#DIV/0!</v>
      </c>
      <c r="M42" s="208">
        <v>57534.8</v>
      </c>
      <c r="N42" s="208">
        <v>64472.8</v>
      </c>
      <c r="O42" s="208">
        <v>69680.941</v>
      </c>
      <c r="P42" s="203">
        <f t="shared" si="4"/>
        <v>5208.141000000003</v>
      </c>
      <c r="Q42" s="151">
        <f t="shared" si="5"/>
        <v>108.07804376419203</v>
      </c>
    </row>
    <row r="43" spans="1:17" s="48" customFormat="1" ht="22.5" customHeight="1">
      <c r="A43" s="67" t="s">
        <v>365</v>
      </c>
      <c r="B43" s="56">
        <v>11311200</v>
      </c>
      <c r="C43" s="223">
        <f t="shared" si="13"/>
        <v>613551.4</v>
      </c>
      <c r="D43" s="223">
        <f t="shared" si="13"/>
        <v>618114.2</v>
      </c>
      <c r="E43" s="223">
        <f t="shared" si="13"/>
        <v>653571.375</v>
      </c>
      <c r="F43" s="224">
        <f t="shared" si="0"/>
        <v>35457.17500000005</v>
      </c>
      <c r="G43" s="151">
        <f t="shared" si="1"/>
        <v>105.73634694041975</v>
      </c>
      <c r="H43" s="343"/>
      <c r="I43" s="343"/>
      <c r="J43" s="343"/>
      <c r="K43" s="337">
        <f t="shared" si="2"/>
        <v>0</v>
      </c>
      <c r="L43" s="338" t="e">
        <f t="shared" si="3"/>
        <v>#DIV/0!</v>
      </c>
      <c r="M43" s="208">
        <v>613551.4</v>
      </c>
      <c r="N43" s="208">
        <v>618114.2</v>
      </c>
      <c r="O43" s="208">
        <v>653571.375</v>
      </c>
      <c r="P43" s="203">
        <f t="shared" si="4"/>
        <v>35457.17500000005</v>
      </c>
      <c r="Q43" s="151">
        <f t="shared" si="5"/>
        <v>105.73634694041975</v>
      </c>
    </row>
    <row r="44" spans="1:17" s="48" customFormat="1" ht="22.5" customHeight="1">
      <c r="A44" s="67" t="s">
        <v>366</v>
      </c>
      <c r="B44" s="56">
        <v>11311300</v>
      </c>
      <c r="C44" s="223">
        <f t="shared" si="13"/>
        <v>26086.8</v>
      </c>
      <c r="D44" s="223">
        <f t="shared" si="13"/>
        <v>36025.4</v>
      </c>
      <c r="E44" s="223">
        <f t="shared" si="13"/>
        <v>42635.033</v>
      </c>
      <c r="F44" s="224">
        <f t="shared" si="0"/>
        <v>6609.633000000002</v>
      </c>
      <c r="G44" s="151">
        <f t="shared" si="1"/>
        <v>118.34714673535896</v>
      </c>
      <c r="H44" s="343"/>
      <c r="I44" s="343"/>
      <c r="J44" s="343"/>
      <c r="K44" s="337">
        <f t="shared" si="2"/>
        <v>0</v>
      </c>
      <c r="L44" s="338" t="e">
        <f t="shared" si="3"/>
        <v>#DIV/0!</v>
      </c>
      <c r="M44" s="208">
        <v>26086.8</v>
      </c>
      <c r="N44" s="208">
        <v>36025.4</v>
      </c>
      <c r="O44" s="208">
        <v>42635.033</v>
      </c>
      <c r="P44" s="203">
        <f t="shared" si="4"/>
        <v>6609.633000000002</v>
      </c>
      <c r="Q44" s="151">
        <f t="shared" si="5"/>
        <v>118.34714673535896</v>
      </c>
    </row>
    <row r="45" spans="1:17" s="46" customFormat="1" ht="22.5" customHeight="1">
      <c r="A45" s="66" t="s">
        <v>321</v>
      </c>
      <c r="B45" s="65">
        <v>11312</v>
      </c>
      <c r="C45" s="227">
        <f>C46+C47</f>
        <v>733120</v>
      </c>
      <c r="D45" s="227">
        <f>D46+D47</f>
        <v>738113.5</v>
      </c>
      <c r="E45" s="227">
        <f>E46+E47</f>
        <v>807022.0630000001</v>
      </c>
      <c r="F45" s="226">
        <f t="shared" si="0"/>
        <v>68908.56300000008</v>
      </c>
      <c r="G45" s="150">
        <f t="shared" si="1"/>
        <v>109.3357678730981</v>
      </c>
      <c r="H45" s="344">
        <f>H46+H47</f>
        <v>0</v>
      </c>
      <c r="I45" s="344">
        <f>I46+I47</f>
        <v>0</v>
      </c>
      <c r="J45" s="344">
        <f>J46+J47</f>
        <v>0</v>
      </c>
      <c r="K45" s="341">
        <f t="shared" si="2"/>
        <v>0</v>
      </c>
      <c r="L45" s="342" t="e">
        <f t="shared" si="3"/>
        <v>#DIV/0!</v>
      </c>
      <c r="M45" s="206">
        <f>M46+M47</f>
        <v>733120</v>
      </c>
      <c r="N45" s="206">
        <f>N46+N47</f>
        <v>738113.5</v>
      </c>
      <c r="O45" s="206">
        <f>O46+O47</f>
        <v>807022.0630000001</v>
      </c>
      <c r="P45" s="205">
        <f t="shared" si="4"/>
        <v>68908.56300000008</v>
      </c>
      <c r="Q45" s="150">
        <f t="shared" si="5"/>
        <v>109.3357678730981</v>
      </c>
    </row>
    <row r="46" spans="1:17" s="46" customFormat="1" ht="22.5" customHeight="1">
      <c r="A46" s="67" t="s">
        <v>322</v>
      </c>
      <c r="B46" s="56">
        <v>11312110</v>
      </c>
      <c r="C46" s="223">
        <f aca="true" t="shared" si="14" ref="C46:E47">H46+M46</f>
        <v>82326</v>
      </c>
      <c r="D46" s="223">
        <f t="shared" si="14"/>
        <v>86870.4</v>
      </c>
      <c r="E46" s="223">
        <f t="shared" si="14"/>
        <v>118562.675</v>
      </c>
      <c r="F46" s="224">
        <f t="shared" si="0"/>
        <v>31692.27500000001</v>
      </c>
      <c r="G46" s="151">
        <f t="shared" si="1"/>
        <v>136.4822482686853</v>
      </c>
      <c r="H46" s="343"/>
      <c r="I46" s="343"/>
      <c r="J46" s="343"/>
      <c r="K46" s="337">
        <f t="shared" si="2"/>
        <v>0</v>
      </c>
      <c r="L46" s="338" t="e">
        <f t="shared" si="3"/>
        <v>#DIV/0!</v>
      </c>
      <c r="M46" s="208">
        <v>82326</v>
      </c>
      <c r="N46" s="208">
        <v>86870.4</v>
      </c>
      <c r="O46" s="208">
        <v>118562.675</v>
      </c>
      <c r="P46" s="203">
        <f t="shared" si="4"/>
        <v>31692.27500000001</v>
      </c>
      <c r="Q46" s="151">
        <f t="shared" si="5"/>
        <v>136.4822482686853</v>
      </c>
    </row>
    <row r="47" spans="1:17" s="46" customFormat="1" ht="22.5" customHeight="1">
      <c r="A47" s="67" t="s">
        <v>323</v>
      </c>
      <c r="B47" s="56">
        <v>11312120</v>
      </c>
      <c r="C47" s="223">
        <f t="shared" si="14"/>
        <v>650794</v>
      </c>
      <c r="D47" s="223">
        <f t="shared" si="14"/>
        <v>651243.1</v>
      </c>
      <c r="E47" s="223">
        <f t="shared" si="14"/>
        <v>688459.388</v>
      </c>
      <c r="F47" s="224">
        <f t="shared" si="0"/>
        <v>37216.28800000006</v>
      </c>
      <c r="G47" s="151">
        <f t="shared" si="1"/>
        <v>105.71465371379752</v>
      </c>
      <c r="H47" s="343"/>
      <c r="I47" s="343"/>
      <c r="J47" s="343"/>
      <c r="K47" s="337">
        <f t="shared" si="2"/>
        <v>0</v>
      </c>
      <c r="L47" s="338" t="e">
        <f t="shared" si="3"/>
        <v>#DIV/0!</v>
      </c>
      <c r="M47" s="208">
        <v>650794</v>
      </c>
      <c r="N47" s="208">
        <v>651243.1</v>
      </c>
      <c r="O47" s="208">
        <v>688459.388</v>
      </c>
      <c r="P47" s="203">
        <f t="shared" si="4"/>
        <v>37216.28800000006</v>
      </c>
      <c r="Q47" s="151">
        <f t="shared" si="5"/>
        <v>105.71465371379752</v>
      </c>
    </row>
    <row r="48" spans="1:17" s="46" customFormat="1" ht="22.5" customHeight="1">
      <c r="A48" s="66" t="s">
        <v>11</v>
      </c>
      <c r="B48" s="65">
        <v>1132</v>
      </c>
      <c r="C48" s="227">
        <f>C49</f>
        <v>941657</v>
      </c>
      <c r="D48" s="227">
        <f>D49</f>
        <v>973994.3</v>
      </c>
      <c r="E48" s="227">
        <f>E49</f>
        <v>1052182.534</v>
      </c>
      <c r="F48" s="226">
        <f t="shared" si="0"/>
        <v>78188.23399999994</v>
      </c>
      <c r="G48" s="150">
        <f t="shared" si="1"/>
        <v>108.02758640373973</v>
      </c>
      <c r="H48" s="344">
        <f>H49</f>
        <v>0</v>
      </c>
      <c r="I48" s="344">
        <f>I49</f>
        <v>0</v>
      </c>
      <c r="J48" s="344">
        <f>J49</f>
        <v>0</v>
      </c>
      <c r="K48" s="341">
        <f t="shared" si="2"/>
        <v>0</v>
      </c>
      <c r="L48" s="342" t="e">
        <f t="shared" si="3"/>
        <v>#DIV/0!</v>
      </c>
      <c r="M48" s="206">
        <f>M49</f>
        <v>941657</v>
      </c>
      <c r="N48" s="206">
        <f>N49</f>
        <v>973994.3</v>
      </c>
      <c r="O48" s="206">
        <f>O49</f>
        <v>1052182.534</v>
      </c>
      <c r="P48" s="205">
        <f t="shared" si="4"/>
        <v>78188.23399999994</v>
      </c>
      <c r="Q48" s="150">
        <f t="shared" si="5"/>
        <v>108.02758640373973</v>
      </c>
    </row>
    <row r="49" spans="1:17" s="46" customFormat="1" ht="22.5" customHeight="1">
      <c r="A49" s="66" t="s">
        <v>11</v>
      </c>
      <c r="B49" s="65">
        <v>11321</v>
      </c>
      <c r="C49" s="227">
        <f>C50+C51+C52</f>
        <v>941657</v>
      </c>
      <c r="D49" s="227">
        <f>D50+D51+D52</f>
        <v>973994.3</v>
      </c>
      <c r="E49" s="227">
        <f>E50+E51+E52</f>
        <v>1052182.534</v>
      </c>
      <c r="F49" s="226">
        <f t="shared" si="0"/>
        <v>78188.23399999994</v>
      </c>
      <c r="G49" s="150">
        <f t="shared" si="1"/>
        <v>108.02758640373973</v>
      </c>
      <c r="H49" s="344">
        <f>H50+H51+H52</f>
        <v>0</v>
      </c>
      <c r="I49" s="344">
        <f>I50+I51+I52</f>
        <v>0</v>
      </c>
      <c r="J49" s="344">
        <f>J50+J51+J52</f>
        <v>0</v>
      </c>
      <c r="K49" s="341">
        <f t="shared" si="2"/>
        <v>0</v>
      </c>
      <c r="L49" s="342" t="e">
        <f t="shared" si="3"/>
        <v>#DIV/0!</v>
      </c>
      <c r="M49" s="206">
        <f>M50+M51+M52</f>
        <v>941657</v>
      </c>
      <c r="N49" s="206">
        <f>N50+N51+N52</f>
        <v>973994.3</v>
      </c>
      <c r="O49" s="206">
        <f>O50+O51+O52</f>
        <v>1052182.534</v>
      </c>
      <c r="P49" s="205">
        <f t="shared" si="4"/>
        <v>78188.23399999994</v>
      </c>
      <c r="Q49" s="150">
        <f t="shared" si="5"/>
        <v>108.02758640373973</v>
      </c>
    </row>
    <row r="50" spans="1:17" s="47" customFormat="1" ht="22.5" customHeight="1">
      <c r="A50" s="67" t="s">
        <v>324</v>
      </c>
      <c r="B50" s="56">
        <v>11321100</v>
      </c>
      <c r="C50" s="223">
        <f aca="true" t="shared" si="15" ref="C50:E52">H50+M50</f>
        <v>156193</v>
      </c>
      <c r="D50" s="223">
        <f t="shared" si="15"/>
        <v>166045.7</v>
      </c>
      <c r="E50" s="223">
        <f t="shared" si="15"/>
        <v>182930.918</v>
      </c>
      <c r="F50" s="224">
        <f t="shared" si="0"/>
        <v>16885.217999999993</v>
      </c>
      <c r="G50" s="151">
        <f t="shared" si="1"/>
        <v>110.16901852923621</v>
      </c>
      <c r="H50" s="343"/>
      <c r="I50" s="343"/>
      <c r="J50" s="343"/>
      <c r="K50" s="337">
        <f t="shared" si="2"/>
        <v>0</v>
      </c>
      <c r="L50" s="338" t="e">
        <f t="shared" si="3"/>
        <v>#DIV/0!</v>
      </c>
      <c r="M50" s="208">
        <v>156193</v>
      </c>
      <c r="N50" s="208">
        <v>166045.7</v>
      </c>
      <c r="O50" s="208">
        <v>182930.918</v>
      </c>
      <c r="P50" s="203">
        <f t="shared" si="4"/>
        <v>16885.217999999993</v>
      </c>
      <c r="Q50" s="151">
        <f t="shared" si="5"/>
        <v>110.16901852923621</v>
      </c>
    </row>
    <row r="51" spans="1:17" s="47" customFormat="1" ht="22.5" customHeight="1">
      <c r="A51" s="67" t="s">
        <v>48</v>
      </c>
      <c r="B51" s="56">
        <v>11321200</v>
      </c>
      <c r="C51" s="223">
        <f t="shared" si="15"/>
        <v>281504</v>
      </c>
      <c r="D51" s="223">
        <f t="shared" si="15"/>
        <v>283560.2</v>
      </c>
      <c r="E51" s="223">
        <f t="shared" si="15"/>
        <v>310795.214</v>
      </c>
      <c r="F51" s="224">
        <f t="shared" si="0"/>
        <v>27235.013999999966</v>
      </c>
      <c r="G51" s="151">
        <f t="shared" si="1"/>
        <v>109.60466736869276</v>
      </c>
      <c r="H51" s="343"/>
      <c r="I51" s="343"/>
      <c r="J51" s="343"/>
      <c r="K51" s="337">
        <f t="shared" si="2"/>
        <v>0</v>
      </c>
      <c r="L51" s="338" t="e">
        <f t="shared" si="3"/>
        <v>#DIV/0!</v>
      </c>
      <c r="M51" s="208">
        <v>281504</v>
      </c>
      <c r="N51" s="208">
        <v>283560.2</v>
      </c>
      <c r="O51" s="208">
        <v>310795.214</v>
      </c>
      <c r="P51" s="203">
        <f t="shared" si="4"/>
        <v>27235.013999999966</v>
      </c>
      <c r="Q51" s="151">
        <f t="shared" si="5"/>
        <v>109.60466736869276</v>
      </c>
    </row>
    <row r="52" spans="1:17" s="47" customFormat="1" ht="22.5" customHeight="1">
      <c r="A52" s="67" t="s">
        <v>325</v>
      </c>
      <c r="B52" s="56">
        <v>11321300</v>
      </c>
      <c r="C52" s="223">
        <f t="shared" si="15"/>
        <v>503960</v>
      </c>
      <c r="D52" s="223">
        <f t="shared" si="15"/>
        <v>524388.4</v>
      </c>
      <c r="E52" s="223">
        <f t="shared" si="15"/>
        <v>558456.402</v>
      </c>
      <c r="F52" s="224">
        <f t="shared" si="0"/>
        <v>34068.00199999998</v>
      </c>
      <c r="G52" s="151">
        <f t="shared" si="1"/>
        <v>106.49671159773939</v>
      </c>
      <c r="H52" s="343"/>
      <c r="I52" s="343"/>
      <c r="J52" s="343"/>
      <c r="K52" s="337">
        <f t="shared" si="2"/>
        <v>0</v>
      </c>
      <c r="L52" s="338" t="e">
        <f t="shared" si="3"/>
        <v>#DIV/0!</v>
      </c>
      <c r="M52" s="208">
        <v>503960</v>
      </c>
      <c r="N52" s="208">
        <v>524388.4</v>
      </c>
      <c r="O52" s="208">
        <v>558456.402</v>
      </c>
      <c r="P52" s="203">
        <f t="shared" si="4"/>
        <v>34068.00199999998</v>
      </c>
      <c r="Q52" s="151">
        <f t="shared" si="5"/>
        <v>106.49671159773939</v>
      </c>
    </row>
    <row r="53" spans="1:17" s="44" customFormat="1" ht="22.5" customHeight="1">
      <c r="A53" s="66" t="s">
        <v>50</v>
      </c>
      <c r="B53" s="58" t="s">
        <v>49</v>
      </c>
      <c r="C53" s="227">
        <f>C54+C66+C122</f>
        <v>59119866</v>
      </c>
      <c r="D53" s="227">
        <f>D54+D66+D122</f>
        <v>63125343</v>
      </c>
      <c r="E53" s="227">
        <f>E54+E66+E122</f>
        <v>59855242.507999994</v>
      </c>
      <c r="F53" s="226">
        <f t="shared" si="0"/>
        <v>-3270100.492000006</v>
      </c>
      <c r="G53" s="150">
        <f t="shared" si="1"/>
        <v>94.81967093311476</v>
      </c>
      <c r="H53" s="206">
        <f>H54+H66+H122</f>
        <v>56938486</v>
      </c>
      <c r="I53" s="206">
        <f>I54+I66+I122</f>
        <v>60913612.6</v>
      </c>
      <c r="J53" s="206">
        <f>J54+J66+J122</f>
        <v>57690738.977000006</v>
      </c>
      <c r="K53" s="205">
        <f t="shared" si="2"/>
        <v>-3222873.622999996</v>
      </c>
      <c r="L53" s="150">
        <f t="shared" si="3"/>
        <v>94.70910772578279</v>
      </c>
      <c r="M53" s="206">
        <f>M54+M66+M122</f>
        <v>2181380</v>
      </c>
      <c r="N53" s="206">
        <f>N54+N66+N122</f>
        <v>2211730.4</v>
      </c>
      <c r="O53" s="206">
        <f>O54+O66+O122</f>
        <v>2164503.531</v>
      </c>
      <c r="P53" s="205">
        <f t="shared" si="4"/>
        <v>-47226.86899999995</v>
      </c>
      <c r="Q53" s="150">
        <f t="shared" si="5"/>
        <v>97.86470950528148</v>
      </c>
    </row>
    <row r="54" spans="1:17" s="44" customFormat="1" ht="22.5" customHeight="1">
      <c r="A54" s="66" t="s">
        <v>238</v>
      </c>
      <c r="B54" s="58">
        <v>1141</v>
      </c>
      <c r="C54" s="227">
        <f>C55+C60+C62+C64</f>
        <v>49349600</v>
      </c>
      <c r="D54" s="227">
        <f>D55+D60+D62+D64</f>
        <v>52544600</v>
      </c>
      <c r="E54" s="227">
        <f>E55+E60+E62+E64</f>
        <v>49164851.202</v>
      </c>
      <c r="F54" s="226">
        <f t="shared" si="0"/>
        <v>-3379748.7980000004</v>
      </c>
      <c r="G54" s="150">
        <f t="shared" si="1"/>
        <v>93.56784750859269</v>
      </c>
      <c r="H54" s="206">
        <f>H55+H60+H62+H64</f>
        <v>47276250</v>
      </c>
      <c r="I54" s="206">
        <f>I55+I60+I62+I64</f>
        <v>50471250</v>
      </c>
      <c r="J54" s="206">
        <f>J55+J60+J62+J64</f>
        <v>47147939.897</v>
      </c>
      <c r="K54" s="205">
        <f t="shared" si="2"/>
        <v>-3323310.103</v>
      </c>
      <c r="L54" s="150">
        <f t="shared" si="3"/>
        <v>93.41543927879734</v>
      </c>
      <c r="M54" s="206">
        <f>M55+M60+M62+M64</f>
        <v>2073350</v>
      </c>
      <c r="N54" s="206">
        <f>N55+N60+N62+N64</f>
        <v>2073350</v>
      </c>
      <c r="O54" s="206">
        <f>O55+O60+O62+O64</f>
        <v>2016911.305</v>
      </c>
      <c r="P54" s="205">
        <f t="shared" si="4"/>
        <v>-56438.695000000065</v>
      </c>
      <c r="Q54" s="150">
        <f t="shared" si="5"/>
        <v>97.27789832879157</v>
      </c>
    </row>
    <row r="55" spans="1:17" s="46" customFormat="1" ht="22.5" customHeight="1">
      <c r="A55" s="66" t="s">
        <v>51</v>
      </c>
      <c r="B55" s="65">
        <v>11411</v>
      </c>
      <c r="C55" s="229">
        <f>C56+C57+C58+C59</f>
        <v>45202900</v>
      </c>
      <c r="D55" s="229">
        <f>D56+D57+D58+D59</f>
        <v>48397900</v>
      </c>
      <c r="E55" s="229">
        <f>E56+E57+E58+E59</f>
        <v>45131028.736</v>
      </c>
      <c r="F55" s="226">
        <f t="shared" si="0"/>
        <v>-3266871.2639999986</v>
      </c>
      <c r="G55" s="150">
        <f t="shared" si="1"/>
        <v>93.24997311040354</v>
      </c>
      <c r="H55" s="210">
        <f>H56+H57+H58+H59</f>
        <v>45202900</v>
      </c>
      <c r="I55" s="210">
        <f>I56+I57+I58+I59</f>
        <v>48397900</v>
      </c>
      <c r="J55" s="210">
        <f>J56+J57+J58+J59</f>
        <v>45131028.736</v>
      </c>
      <c r="K55" s="205">
        <f t="shared" si="2"/>
        <v>-3266871.2639999986</v>
      </c>
      <c r="L55" s="150">
        <f t="shared" si="3"/>
        <v>93.24997311040354</v>
      </c>
      <c r="M55" s="345">
        <f>M56+M57+M58+M59</f>
        <v>0</v>
      </c>
      <c r="N55" s="345">
        <f>N56+N57+N58+N59</f>
        <v>0</v>
      </c>
      <c r="O55" s="345">
        <f>O56+O57+O58+O59</f>
        <v>0</v>
      </c>
      <c r="P55" s="341">
        <f t="shared" si="4"/>
        <v>0</v>
      </c>
      <c r="Q55" s="342" t="e">
        <f t="shared" si="5"/>
        <v>#DIV/0!</v>
      </c>
    </row>
    <row r="56" spans="1:17" s="47" customFormat="1" ht="22.5" customHeight="1">
      <c r="A56" s="67" t="s">
        <v>52</v>
      </c>
      <c r="B56" s="56">
        <v>11411100</v>
      </c>
      <c r="C56" s="223">
        <f aca="true" t="shared" si="16" ref="C56:E59">H56+M56</f>
        <v>13068800</v>
      </c>
      <c r="D56" s="223">
        <f t="shared" si="16"/>
        <v>13068800</v>
      </c>
      <c r="E56" s="223">
        <f t="shared" si="16"/>
        <v>12560076.395</v>
      </c>
      <c r="F56" s="224">
        <f t="shared" si="0"/>
        <v>-508723.60500000045</v>
      </c>
      <c r="G56" s="151">
        <f t="shared" si="1"/>
        <v>96.10734264048726</v>
      </c>
      <c r="H56" s="208">
        <v>13068800</v>
      </c>
      <c r="I56" s="208">
        <v>13068800</v>
      </c>
      <c r="J56" s="208">
        <v>12560076.395</v>
      </c>
      <c r="K56" s="203">
        <f t="shared" si="2"/>
        <v>-508723.60500000045</v>
      </c>
      <c r="L56" s="151">
        <f t="shared" si="3"/>
        <v>96.10734264048726</v>
      </c>
      <c r="M56" s="343"/>
      <c r="N56" s="343"/>
      <c r="O56" s="343"/>
      <c r="P56" s="337">
        <f t="shared" si="4"/>
        <v>0</v>
      </c>
      <c r="Q56" s="338" t="e">
        <f t="shared" si="5"/>
        <v>#DIV/0!</v>
      </c>
    </row>
    <row r="57" spans="1:17" s="47" customFormat="1" ht="22.5" customHeight="1">
      <c r="A57" s="67" t="s">
        <v>467</v>
      </c>
      <c r="B57" s="56">
        <v>11411200</v>
      </c>
      <c r="C57" s="339">
        <f t="shared" si="16"/>
        <v>0</v>
      </c>
      <c r="D57" s="339">
        <f t="shared" si="16"/>
        <v>0</v>
      </c>
      <c r="E57" s="223">
        <f t="shared" si="16"/>
        <v>5156.707</v>
      </c>
      <c r="F57" s="224">
        <f t="shared" si="0"/>
        <v>5156.707</v>
      </c>
      <c r="G57" s="338" t="e">
        <f t="shared" si="1"/>
        <v>#DIV/0!</v>
      </c>
      <c r="H57" s="208"/>
      <c r="I57" s="208"/>
      <c r="J57" s="208">
        <v>5156.707</v>
      </c>
      <c r="K57" s="203">
        <f t="shared" si="2"/>
        <v>5156.707</v>
      </c>
      <c r="L57" s="338" t="e">
        <f t="shared" si="3"/>
        <v>#DIV/0!</v>
      </c>
      <c r="M57" s="343"/>
      <c r="N57" s="343"/>
      <c r="O57" s="343"/>
      <c r="P57" s="337">
        <f t="shared" si="4"/>
        <v>0</v>
      </c>
      <c r="Q57" s="338" t="e">
        <f t="shared" si="5"/>
        <v>#DIV/0!</v>
      </c>
    </row>
    <row r="58" spans="1:17" s="47" customFormat="1" ht="22.5" customHeight="1">
      <c r="A58" s="67" t="s">
        <v>468</v>
      </c>
      <c r="B58" s="56">
        <v>11411300</v>
      </c>
      <c r="C58" s="223">
        <f t="shared" si="16"/>
        <v>17096400</v>
      </c>
      <c r="D58" s="223">
        <f t="shared" si="16"/>
        <v>17096400</v>
      </c>
      <c r="E58" s="223">
        <f t="shared" si="16"/>
        <v>15142466.818</v>
      </c>
      <c r="F58" s="224">
        <f t="shared" si="0"/>
        <v>-1953933.182</v>
      </c>
      <c r="G58" s="151">
        <f t="shared" si="1"/>
        <v>88.57108407617979</v>
      </c>
      <c r="H58" s="208">
        <v>17096400</v>
      </c>
      <c r="I58" s="208">
        <v>17096400</v>
      </c>
      <c r="J58" s="208">
        <v>15142466.818</v>
      </c>
      <c r="K58" s="203">
        <f t="shared" si="2"/>
        <v>-1953933.182</v>
      </c>
      <c r="L58" s="151">
        <f t="shared" si="3"/>
        <v>88.57108407617979</v>
      </c>
      <c r="M58" s="343"/>
      <c r="N58" s="343"/>
      <c r="O58" s="343"/>
      <c r="P58" s="337">
        <f t="shared" si="4"/>
        <v>0</v>
      </c>
      <c r="Q58" s="338" t="e">
        <f t="shared" si="5"/>
        <v>#DIV/0!</v>
      </c>
    </row>
    <row r="59" spans="1:17" s="47" customFormat="1" ht="22.5" customHeight="1">
      <c r="A59" s="67" t="s">
        <v>469</v>
      </c>
      <c r="B59" s="56">
        <v>11411400</v>
      </c>
      <c r="C59" s="223">
        <f t="shared" si="16"/>
        <v>15037700</v>
      </c>
      <c r="D59" s="223">
        <f t="shared" si="16"/>
        <v>18232700</v>
      </c>
      <c r="E59" s="223">
        <f t="shared" si="16"/>
        <v>17423328.816</v>
      </c>
      <c r="F59" s="224">
        <f t="shared" si="0"/>
        <v>-809371.1840000004</v>
      </c>
      <c r="G59" s="151">
        <f t="shared" si="1"/>
        <v>95.56088136150981</v>
      </c>
      <c r="H59" s="208">
        <v>15037700</v>
      </c>
      <c r="I59" s="208">
        <v>18232700</v>
      </c>
      <c r="J59" s="208">
        <v>17423328.816</v>
      </c>
      <c r="K59" s="203">
        <f t="shared" si="2"/>
        <v>-809371.1840000004</v>
      </c>
      <c r="L59" s="151">
        <f t="shared" si="3"/>
        <v>95.56088136150981</v>
      </c>
      <c r="M59" s="343"/>
      <c r="N59" s="343"/>
      <c r="O59" s="343"/>
      <c r="P59" s="337">
        <f t="shared" si="4"/>
        <v>0</v>
      </c>
      <c r="Q59" s="338" t="e">
        <f t="shared" si="5"/>
        <v>#DIV/0!</v>
      </c>
    </row>
    <row r="60" spans="1:17" s="48" customFormat="1" ht="22.5" customHeight="1">
      <c r="A60" s="66" t="s">
        <v>326</v>
      </c>
      <c r="B60" s="65">
        <v>11412</v>
      </c>
      <c r="C60" s="228">
        <f>C61</f>
        <v>4146700</v>
      </c>
      <c r="D60" s="228">
        <f>D61</f>
        <v>4146700</v>
      </c>
      <c r="E60" s="228">
        <f>E61</f>
        <v>4033822.466</v>
      </c>
      <c r="F60" s="226">
        <f t="shared" si="0"/>
        <v>-112877.53399999999</v>
      </c>
      <c r="G60" s="150">
        <f t="shared" si="1"/>
        <v>97.27789485615067</v>
      </c>
      <c r="H60" s="209">
        <f>H61</f>
        <v>2073350</v>
      </c>
      <c r="I60" s="209">
        <f>I61</f>
        <v>2073350</v>
      </c>
      <c r="J60" s="209">
        <f>J61</f>
        <v>2016911.161</v>
      </c>
      <c r="K60" s="205">
        <f t="shared" si="2"/>
        <v>-56438.83899999992</v>
      </c>
      <c r="L60" s="150">
        <f t="shared" si="3"/>
        <v>97.27789138350978</v>
      </c>
      <c r="M60" s="209">
        <f>M61</f>
        <v>2073350</v>
      </c>
      <c r="N60" s="209">
        <f>N61</f>
        <v>2073350</v>
      </c>
      <c r="O60" s="209">
        <f>O61</f>
        <v>2016911.305</v>
      </c>
      <c r="P60" s="205">
        <f t="shared" si="4"/>
        <v>-56438.695000000065</v>
      </c>
      <c r="Q60" s="150">
        <f t="shared" si="5"/>
        <v>97.27789832879157</v>
      </c>
    </row>
    <row r="61" spans="1:17" s="47" customFormat="1" ht="22.5" customHeight="1">
      <c r="A61" s="67" t="s">
        <v>326</v>
      </c>
      <c r="B61" s="56">
        <v>11412100</v>
      </c>
      <c r="C61" s="223">
        <f>H61+M61</f>
        <v>4146700</v>
      </c>
      <c r="D61" s="223">
        <f>I61+N61</f>
        <v>4146700</v>
      </c>
      <c r="E61" s="223">
        <f>J61+O61</f>
        <v>4033822.466</v>
      </c>
      <c r="F61" s="224">
        <f t="shared" si="0"/>
        <v>-112877.53399999999</v>
      </c>
      <c r="G61" s="151">
        <f t="shared" si="1"/>
        <v>97.27789485615067</v>
      </c>
      <c r="H61" s="208">
        <v>2073350</v>
      </c>
      <c r="I61" s="208">
        <v>2073350</v>
      </c>
      <c r="J61" s="208">
        <v>2016911.161</v>
      </c>
      <c r="K61" s="203">
        <f t="shared" si="2"/>
        <v>-56438.83899999992</v>
      </c>
      <c r="L61" s="151">
        <f t="shared" si="3"/>
        <v>97.27789138350978</v>
      </c>
      <c r="M61" s="208">
        <v>2073350</v>
      </c>
      <c r="N61" s="208">
        <v>2073350</v>
      </c>
      <c r="O61" s="208">
        <v>2016911.305</v>
      </c>
      <c r="P61" s="203">
        <f t="shared" si="4"/>
        <v>-56438.695000000065</v>
      </c>
      <c r="Q61" s="151">
        <f t="shared" si="5"/>
        <v>97.27789832879157</v>
      </c>
    </row>
    <row r="62" spans="1:17" s="46" customFormat="1" ht="22.5" customHeight="1" hidden="1">
      <c r="A62" s="66" t="s">
        <v>29</v>
      </c>
      <c r="B62" s="65">
        <v>11413</v>
      </c>
      <c r="C62" s="229">
        <f>C63</f>
        <v>0</v>
      </c>
      <c r="D62" s="229">
        <f>D63</f>
        <v>0</v>
      </c>
      <c r="E62" s="229">
        <f>E63</f>
        <v>0</v>
      </c>
      <c r="F62" s="226">
        <f t="shared" si="0"/>
        <v>0</v>
      </c>
      <c r="G62" s="150" t="e">
        <f t="shared" si="1"/>
        <v>#DIV/0!</v>
      </c>
      <c r="H62" s="210">
        <f>H63</f>
        <v>0</v>
      </c>
      <c r="I62" s="210">
        <f>I63</f>
        <v>0</v>
      </c>
      <c r="J62" s="210">
        <f>J63</f>
        <v>0</v>
      </c>
      <c r="K62" s="205">
        <f t="shared" si="2"/>
        <v>0</v>
      </c>
      <c r="L62" s="150" t="e">
        <f t="shared" si="3"/>
        <v>#DIV/0!</v>
      </c>
      <c r="M62" s="210">
        <f>M63</f>
        <v>0</v>
      </c>
      <c r="N62" s="210">
        <f>N63</f>
        <v>0</v>
      </c>
      <c r="O62" s="210">
        <f>O63</f>
        <v>0</v>
      </c>
      <c r="P62" s="205">
        <f t="shared" si="4"/>
        <v>0</v>
      </c>
      <c r="Q62" s="150" t="e">
        <f t="shared" si="5"/>
        <v>#DIV/0!</v>
      </c>
    </row>
    <row r="63" spans="1:17" s="47" customFormat="1" ht="22.5" customHeight="1" hidden="1">
      <c r="A63" s="67" t="s">
        <v>29</v>
      </c>
      <c r="B63" s="56">
        <v>11413100</v>
      </c>
      <c r="C63" s="223">
        <f>H63+M63</f>
        <v>0</v>
      </c>
      <c r="D63" s="223">
        <f>I63+N63</f>
        <v>0</v>
      </c>
      <c r="E63" s="223">
        <f>J63+O63</f>
        <v>0</v>
      </c>
      <c r="F63" s="224">
        <f t="shared" si="0"/>
        <v>0</v>
      </c>
      <c r="G63" s="151" t="e">
        <f t="shared" si="1"/>
        <v>#DIV/0!</v>
      </c>
      <c r="H63" s="208"/>
      <c r="I63" s="208"/>
      <c r="J63" s="208"/>
      <c r="K63" s="203">
        <f t="shared" si="2"/>
        <v>0</v>
      </c>
      <c r="L63" s="151" t="e">
        <f t="shared" si="3"/>
        <v>#DIV/0!</v>
      </c>
      <c r="M63" s="208"/>
      <c r="N63" s="208"/>
      <c r="O63" s="208"/>
      <c r="P63" s="203">
        <f t="shared" si="4"/>
        <v>0</v>
      </c>
      <c r="Q63" s="151" t="e">
        <f t="shared" si="5"/>
        <v>#DIV/0!</v>
      </c>
    </row>
    <row r="64" spans="1:17" s="46" customFormat="1" ht="22.5" customHeight="1" hidden="1">
      <c r="A64" s="66" t="s">
        <v>53</v>
      </c>
      <c r="B64" s="65">
        <v>11414</v>
      </c>
      <c r="C64" s="227">
        <f>C65</f>
        <v>0</v>
      </c>
      <c r="D64" s="227">
        <f>D65</f>
        <v>0</v>
      </c>
      <c r="E64" s="227">
        <f>E65</f>
        <v>0</v>
      </c>
      <c r="F64" s="226">
        <f t="shared" si="0"/>
        <v>0</v>
      </c>
      <c r="G64" s="150" t="e">
        <f t="shared" si="1"/>
        <v>#DIV/0!</v>
      </c>
      <c r="H64" s="206">
        <f>H65</f>
        <v>0</v>
      </c>
      <c r="I64" s="206">
        <f>I65</f>
        <v>0</v>
      </c>
      <c r="J64" s="206">
        <f>J65</f>
        <v>0</v>
      </c>
      <c r="K64" s="205">
        <f t="shared" si="2"/>
        <v>0</v>
      </c>
      <c r="L64" s="150" t="e">
        <f t="shared" si="3"/>
        <v>#DIV/0!</v>
      </c>
      <c r="M64" s="206">
        <f>M65</f>
        <v>0</v>
      </c>
      <c r="N64" s="206">
        <f>N65</f>
        <v>0</v>
      </c>
      <c r="O64" s="206">
        <f>O65</f>
        <v>0</v>
      </c>
      <c r="P64" s="205">
        <f t="shared" si="4"/>
        <v>0</v>
      </c>
      <c r="Q64" s="150" t="e">
        <f t="shared" si="5"/>
        <v>#DIV/0!</v>
      </c>
    </row>
    <row r="65" spans="1:17" s="47" customFormat="1" ht="22.5" customHeight="1" hidden="1">
      <c r="A65" s="67" t="s">
        <v>53</v>
      </c>
      <c r="B65" s="56">
        <v>11414100</v>
      </c>
      <c r="C65" s="223">
        <f>H65+M65</f>
        <v>0</v>
      </c>
      <c r="D65" s="223">
        <f>I65+N65</f>
        <v>0</v>
      </c>
      <c r="E65" s="223">
        <f>J65+O65</f>
        <v>0</v>
      </c>
      <c r="F65" s="224">
        <f t="shared" si="0"/>
        <v>0</v>
      </c>
      <c r="G65" s="151" t="e">
        <f t="shared" si="1"/>
        <v>#DIV/0!</v>
      </c>
      <c r="H65" s="208"/>
      <c r="I65" s="208"/>
      <c r="J65" s="208"/>
      <c r="K65" s="203">
        <f t="shared" si="2"/>
        <v>0</v>
      </c>
      <c r="L65" s="151" t="e">
        <f t="shared" si="3"/>
        <v>#DIV/0!</v>
      </c>
      <c r="M65" s="208"/>
      <c r="N65" s="208"/>
      <c r="O65" s="208"/>
      <c r="P65" s="203">
        <f t="shared" si="4"/>
        <v>0</v>
      </c>
      <c r="Q65" s="151" t="e">
        <f t="shared" si="5"/>
        <v>#DIV/0!</v>
      </c>
    </row>
    <row r="66" spans="1:17" s="45" customFormat="1" ht="22.5" customHeight="1">
      <c r="A66" s="66" t="s">
        <v>54</v>
      </c>
      <c r="B66" s="65">
        <v>1142</v>
      </c>
      <c r="C66" s="227">
        <f>C67+C93+C118+C120</f>
        <v>8980116</v>
      </c>
      <c r="D66" s="227">
        <f>D67+D93+D118+D120</f>
        <v>9419093</v>
      </c>
      <c r="E66" s="227">
        <f>E67+E93+E118+E120</f>
        <v>9506478.465</v>
      </c>
      <c r="F66" s="226">
        <f t="shared" si="0"/>
        <v>87385.46499999985</v>
      </c>
      <c r="G66" s="150">
        <f t="shared" si="1"/>
        <v>100.92774819189066</v>
      </c>
      <c r="H66" s="206">
        <f>H67+H93+H118+H120</f>
        <v>8980116</v>
      </c>
      <c r="I66" s="206">
        <f>I67+I93+I118+I120</f>
        <v>9419093</v>
      </c>
      <c r="J66" s="206">
        <f>J67+J93+J118+J120</f>
        <v>9506478.465</v>
      </c>
      <c r="K66" s="205">
        <f t="shared" si="2"/>
        <v>87385.46499999985</v>
      </c>
      <c r="L66" s="150">
        <f t="shared" si="3"/>
        <v>100.92774819189066</v>
      </c>
      <c r="M66" s="344">
        <f>M67+M93+M118+M120</f>
        <v>0</v>
      </c>
      <c r="N66" s="344">
        <f>N67+N93+N118+N120</f>
        <v>0</v>
      </c>
      <c r="O66" s="344">
        <f>O67+O93+O118+O120</f>
        <v>0</v>
      </c>
      <c r="P66" s="341">
        <f t="shared" si="4"/>
        <v>0</v>
      </c>
      <c r="Q66" s="342" t="e">
        <f t="shared" si="5"/>
        <v>#DIV/0!</v>
      </c>
    </row>
    <row r="67" spans="1:17" s="48" customFormat="1" ht="22.5" customHeight="1">
      <c r="A67" s="66" t="s">
        <v>327</v>
      </c>
      <c r="B67" s="65">
        <v>11421</v>
      </c>
      <c r="C67" s="228">
        <f>C68+C78+C83+C90</f>
        <v>1521616</v>
      </c>
      <c r="D67" s="228">
        <f>D68+D78+D83+D90</f>
        <v>1900593</v>
      </c>
      <c r="E67" s="228">
        <f aca="true" t="shared" si="17" ref="E67:E77">J67+O67</f>
        <v>1762554.881</v>
      </c>
      <c r="F67" s="226">
        <f t="shared" si="0"/>
        <v>-138038.11899999995</v>
      </c>
      <c r="G67" s="150">
        <f t="shared" si="1"/>
        <v>92.73710263060003</v>
      </c>
      <c r="H67" s="209">
        <f>H68+H78+H83+H90</f>
        <v>1521616</v>
      </c>
      <c r="I67" s="209">
        <f>I68+I78+I83+I90</f>
        <v>1900593</v>
      </c>
      <c r="J67" s="209">
        <f>J68+J78+J83+J90</f>
        <v>1762554.881</v>
      </c>
      <c r="K67" s="205">
        <f t="shared" si="2"/>
        <v>-138038.11899999995</v>
      </c>
      <c r="L67" s="150">
        <f t="shared" si="3"/>
        <v>92.73710263060003</v>
      </c>
      <c r="M67" s="340">
        <f>M68+M78+M83+M90</f>
        <v>0</v>
      </c>
      <c r="N67" s="340">
        <f>N68+N78+N83+N90</f>
        <v>0</v>
      </c>
      <c r="O67" s="340">
        <f>O68+O78+O83+O90</f>
        <v>0</v>
      </c>
      <c r="P67" s="341">
        <f t="shared" si="4"/>
        <v>0</v>
      </c>
      <c r="Q67" s="342" t="e">
        <f t="shared" si="5"/>
        <v>#DIV/0!</v>
      </c>
    </row>
    <row r="68" spans="1:17" s="48" customFormat="1" ht="22.5" customHeight="1" hidden="1">
      <c r="A68" s="66" t="s">
        <v>239</v>
      </c>
      <c r="B68" s="65">
        <v>114211</v>
      </c>
      <c r="C68" s="228">
        <f>C69+C70+C71+C72+C73+C74+C75+C76+C77</f>
        <v>834866</v>
      </c>
      <c r="D68" s="228">
        <f>D69+D70+D71+D72+D73+D74+D75+D76+D77</f>
        <v>834866</v>
      </c>
      <c r="E68" s="228">
        <f>E69+E70+E71+E72+E73+E74+E75+E76+E77</f>
        <v>716929.2849999999</v>
      </c>
      <c r="F68" s="226">
        <f t="shared" si="0"/>
        <v>-117936.71500000008</v>
      </c>
      <c r="G68" s="150">
        <f t="shared" si="1"/>
        <v>85.87357551990378</v>
      </c>
      <c r="H68" s="209">
        <f>H69+H70+H71+H72+H73+H74+H75+H76+H77</f>
        <v>834866</v>
      </c>
      <c r="I68" s="209">
        <f>I69+I70+I71+I72+I73+I74+I75+I76+I77</f>
        <v>834866</v>
      </c>
      <c r="J68" s="209">
        <f>J69+J70+J71+J72+J73+J74+J75+J76+J77</f>
        <v>716929.2849999999</v>
      </c>
      <c r="K68" s="205">
        <f t="shared" si="2"/>
        <v>-117936.71500000008</v>
      </c>
      <c r="L68" s="150">
        <f t="shared" si="3"/>
        <v>85.87357551990378</v>
      </c>
      <c r="M68" s="340">
        <f>M69+M70+M71+M72+M73+M74+M75+M76+M77</f>
        <v>0</v>
      </c>
      <c r="N68" s="340">
        <f>N69+N70+N71+N72+N73+N74+N75+N76+N77</f>
        <v>0</v>
      </c>
      <c r="O68" s="340">
        <f>O69+O70+O71+O72+O73+O74+O75+O76+O77</f>
        <v>0</v>
      </c>
      <c r="P68" s="341">
        <f t="shared" si="4"/>
        <v>0</v>
      </c>
      <c r="Q68" s="342" t="e">
        <f t="shared" si="5"/>
        <v>#DIV/0!</v>
      </c>
    </row>
    <row r="69" spans="1:17" s="47" customFormat="1" ht="22.5" customHeight="1" hidden="1">
      <c r="A69" s="67" t="s">
        <v>328</v>
      </c>
      <c r="B69" s="56">
        <v>11421110</v>
      </c>
      <c r="C69" s="223">
        <f aca="true" t="shared" si="18" ref="C69:D77">H69+M69</f>
        <v>0</v>
      </c>
      <c r="D69" s="223">
        <f t="shared" si="18"/>
        <v>0</v>
      </c>
      <c r="E69" s="223">
        <f t="shared" si="17"/>
        <v>1548.919</v>
      </c>
      <c r="F69" s="224">
        <f t="shared" si="0"/>
        <v>1548.919</v>
      </c>
      <c r="G69" s="151" t="e">
        <f t="shared" si="1"/>
        <v>#DIV/0!</v>
      </c>
      <c r="H69" s="208"/>
      <c r="I69" s="208"/>
      <c r="J69" s="208">
        <v>1548.919</v>
      </c>
      <c r="K69" s="203">
        <f t="shared" si="2"/>
        <v>1548.919</v>
      </c>
      <c r="L69" s="151" t="e">
        <f t="shared" si="3"/>
        <v>#DIV/0!</v>
      </c>
      <c r="M69" s="343"/>
      <c r="N69" s="343"/>
      <c r="O69" s="343"/>
      <c r="P69" s="337">
        <f t="shared" si="4"/>
        <v>0</v>
      </c>
      <c r="Q69" s="338" t="e">
        <f t="shared" si="5"/>
        <v>#DIV/0!</v>
      </c>
    </row>
    <row r="70" spans="1:17" s="47" customFormat="1" ht="22.5" customHeight="1" hidden="1">
      <c r="A70" s="67" t="s">
        <v>240</v>
      </c>
      <c r="B70" s="56">
        <v>11421120</v>
      </c>
      <c r="C70" s="223">
        <f t="shared" si="18"/>
        <v>382980</v>
      </c>
      <c r="D70" s="223">
        <f t="shared" si="18"/>
        <v>382980</v>
      </c>
      <c r="E70" s="223">
        <f t="shared" si="17"/>
        <v>292647.284</v>
      </c>
      <c r="F70" s="224">
        <f t="shared" si="0"/>
        <v>-90332.71600000001</v>
      </c>
      <c r="G70" s="151">
        <f t="shared" si="1"/>
        <v>76.41320277821296</v>
      </c>
      <c r="H70" s="208">
        <v>382980</v>
      </c>
      <c r="I70" s="208">
        <v>382980</v>
      </c>
      <c r="J70" s="208">
        <v>292647.284</v>
      </c>
      <c r="K70" s="203">
        <f t="shared" si="2"/>
        <v>-90332.71600000001</v>
      </c>
      <c r="L70" s="151">
        <f t="shared" si="3"/>
        <v>76.41320277821296</v>
      </c>
      <c r="M70" s="343"/>
      <c r="N70" s="343"/>
      <c r="O70" s="343"/>
      <c r="P70" s="337">
        <f t="shared" si="4"/>
        <v>0</v>
      </c>
      <c r="Q70" s="338" t="e">
        <f t="shared" si="5"/>
        <v>#DIV/0!</v>
      </c>
    </row>
    <row r="71" spans="1:17" s="47" customFormat="1" ht="22.5" customHeight="1" hidden="1">
      <c r="A71" s="67" t="s">
        <v>241</v>
      </c>
      <c r="B71" s="56">
        <v>11421130</v>
      </c>
      <c r="C71" s="223">
        <f t="shared" si="18"/>
        <v>18540</v>
      </c>
      <c r="D71" s="223">
        <f t="shared" si="18"/>
        <v>18540</v>
      </c>
      <c r="E71" s="223">
        <f t="shared" si="17"/>
        <v>7957.751</v>
      </c>
      <c r="F71" s="224">
        <f t="shared" si="0"/>
        <v>-10582.249</v>
      </c>
      <c r="G71" s="151">
        <f t="shared" si="1"/>
        <v>42.92206580366775</v>
      </c>
      <c r="H71" s="208">
        <v>18540</v>
      </c>
      <c r="I71" s="208">
        <v>18540</v>
      </c>
      <c r="J71" s="208">
        <v>7957.751</v>
      </c>
      <c r="K71" s="203">
        <f t="shared" si="2"/>
        <v>-10582.249</v>
      </c>
      <c r="L71" s="151">
        <f t="shared" si="3"/>
        <v>42.92206580366775</v>
      </c>
      <c r="M71" s="343"/>
      <c r="N71" s="343"/>
      <c r="O71" s="343"/>
      <c r="P71" s="337">
        <f t="shared" si="4"/>
        <v>0</v>
      </c>
      <c r="Q71" s="338" t="e">
        <f t="shared" si="5"/>
        <v>#DIV/0!</v>
      </c>
    </row>
    <row r="72" spans="1:17" s="47" customFormat="1" ht="22.5" customHeight="1" hidden="1">
      <c r="A72" s="67" t="s">
        <v>242</v>
      </c>
      <c r="B72" s="56">
        <v>11421140</v>
      </c>
      <c r="C72" s="223">
        <f t="shared" si="18"/>
        <v>8658</v>
      </c>
      <c r="D72" s="223">
        <f t="shared" si="18"/>
        <v>8658</v>
      </c>
      <c r="E72" s="223">
        <f t="shared" si="17"/>
        <v>13536.067</v>
      </c>
      <c r="F72" s="224">
        <f t="shared" si="0"/>
        <v>4878.066999999999</v>
      </c>
      <c r="G72" s="151">
        <f t="shared" si="1"/>
        <v>156.3417301917302</v>
      </c>
      <c r="H72" s="208">
        <v>8658</v>
      </c>
      <c r="I72" s="208">
        <v>8658</v>
      </c>
      <c r="J72" s="208">
        <v>13536.067</v>
      </c>
      <c r="K72" s="203">
        <f t="shared" si="2"/>
        <v>4878.066999999999</v>
      </c>
      <c r="L72" s="151">
        <f t="shared" si="3"/>
        <v>156.3417301917302</v>
      </c>
      <c r="M72" s="343"/>
      <c r="N72" s="343"/>
      <c r="O72" s="343"/>
      <c r="P72" s="337">
        <f t="shared" si="4"/>
        <v>0</v>
      </c>
      <c r="Q72" s="338" t="e">
        <f t="shared" si="5"/>
        <v>#DIV/0!</v>
      </c>
    </row>
    <row r="73" spans="1:17" s="47" customFormat="1" ht="22.5" customHeight="1" hidden="1">
      <c r="A73" s="67" t="s">
        <v>243</v>
      </c>
      <c r="B73" s="56">
        <v>11421150</v>
      </c>
      <c r="C73" s="223">
        <f t="shared" si="18"/>
        <v>34734</v>
      </c>
      <c r="D73" s="223">
        <f t="shared" si="18"/>
        <v>34734</v>
      </c>
      <c r="E73" s="223">
        <f t="shared" si="17"/>
        <v>42675.091</v>
      </c>
      <c r="F73" s="224">
        <f t="shared" si="0"/>
        <v>7941.091</v>
      </c>
      <c r="G73" s="151">
        <f t="shared" si="1"/>
        <v>122.86258709045892</v>
      </c>
      <c r="H73" s="208">
        <v>34734</v>
      </c>
      <c r="I73" s="208">
        <v>34734</v>
      </c>
      <c r="J73" s="208">
        <v>42675.091</v>
      </c>
      <c r="K73" s="203">
        <f t="shared" si="2"/>
        <v>7941.091</v>
      </c>
      <c r="L73" s="151">
        <f t="shared" si="3"/>
        <v>122.86258709045892</v>
      </c>
      <c r="M73" s="343"/>
      <c r="N73" s="343"/>
      <c r="O73" s="343"/>
      <c r="P73" s="337">
        <f t="shared" si="4"/>
        <v>0</v>
      </c>
      <c r="Q73" s="338" t="e">
        <f t="shared" si="5"/>
        <v>#DIV/0!</v>
      </c>
    </row>
    <row r="74" spans="1:17" s="47" customFormat="1" ht="22.5" customHeight="1" hidden="1">
      <c r="A74" s="67" t="s">
        <v>329</v>
      </c>
      <c r="B74" s="56">
        <v>11421160</v>
      </c>
      <c r="C74" s="223">
        <f t="shared" si="18"/>
        <v>18156</v>
      </c>
      <c r="D74" s="223">
        <f t="shared" si="18"/>
        <v>18156</v>
      </c>
      <c r="E74" s="223">
        <f t="shared" si="17"/>
        <v>24512.495</v>
      </c>
      <c r="F74" s="224">
        <f t="shared" si="0"/>
        <v>6356.494999999999</v>
      </c>
      <c r="G74" s="151">
        <f t="shared" si="1"/>
        <v>135.0104373209958</v>
      </c>
      <c r="H74" s="208">
        <v>18156</v>
      </c>
      <c r="I74" s="208">
        <v>18156</v>
      </c>
      <c r="J74" s="208">
        <v>24512.495</v>
      </c>
      <c r="K74" s="203">
        <f t="shared" si="2"/>
        <v>6356.494999999999</v>
      </c>
      <c r="L74" s="151">
        <f t="shared" si="3"/>
        <v>135.0104373209958</v>
      </c>
      <c r="M74" s="343"/>
      <c r="N74" s="343"/>
      <c r="O74" s="343"/>
      <c r="P74" s="337">
        <f t="shared" si="4"/>
        <v>0</v>
      </c>
      <c r="Q74" s="338" t="e">
        <f t="shared" si="5"/>
        <v>#DIV/0!</v>
      </c>
    </row>
    <row r="75" spans="1:17" s="47" customFormat="1" ht="22.5" customHeight="1" hidden="1">
      <c r="A75" s="67" t="s">
        <v>244</v>
      </c>
      <c r="B75" s="56">
        <v>11421170</v>
      </c>
      <c r="C75" s="223">
        <f t="shared" si="18"/>
        <v>343546</v>
      </c>
      <c r="D75" s="223">
        <f t="shared" si="18"/>
        <v>324874</v>
      </c>
      <c r="E75" s="223">
        <f t="shared" si="17"/>
        <v>292363.415</v>
      </c>
      <c r="F75" s="224">
        <f aca="true" t="shared" si="19" ref="F75:F138">E75-D75</f>
        <v>-32510.58500000002</v>
      </c>
      <c r="G75" s="151">
        <f aca="true" t="shared" si="20" ref="G75:G138">E75/D75*100</f>
        <v>89.99286338703621</v>
      </c>
      <c r="H75" s="208">
        <v>343546</v>
      </c>
      <c r="I75" s="208">
        <v>324874</v>
      </c>
      <c r="J75" s="208">
        <v>292363.415</v>
      </c>
      <c r="K75" s="203">
        <f aca="true" t="shared" si="21" ref="K75:K138">J75-I75</f>
        <v>-32510.58500000002</v>
      </c>
      <c r="L75" s="151">
        <f aca="true" t="shared" si="22" ref="L75:L138">J75/I75*100</f>
        <v>89.99286338703621</v>
      </c>
      <c r="M75" s="343"/>
      <c r="N75" s="343"/>
      <c r="O75" s="343"/>
      <c r="P75" s="337">
        <f aca="true" t="shared" si="23" ref="P75:P138">O75-N75</f>
        <v>0</v>
      </c>
      <c r="Q75" s="338" t="e">
        <f aca="true" t="shared" si="24" ref="Q75:Q138">O75/N75*100</f>
        <v>#DIV/0!</v>
      </c>
    </row>
    <row r="76" spans="1:17" s="47" customFormat="1" ht="22.5" customHeight="1" hidden="1">
      <c r="A76" s="67" t="s">
        <v>245</v>
      </c>
      <c r="B76" s="56">
        <v>11421180</v>
      </c>
      <c r="C76" s="223">
        <f t="shared" si="18"/>
        <v>28252</v>
      </c>
      <c r="D76" s="223">
        <f t="shared" si="18"/>
        <v>46924</v>
      </c>
      <c r="E76" s="223">
        <f t="shared" si="17"/>
        <v>41454.898</v>
      </c>
      <c r="F76" s="224">
        <f t="shared" si="19"/>
        <v>-5469.101999999999</v>
      </c>
      <c r="G76" s="151">
        <f t="shared" si="20"/>
        <v>88.34476600460319</v>
      </c>
      <c r="H76" s="208">
        <v>28252</v>
      </c>
      <c r="I76" s="208">
        <v>46924</v>
      </c>
      <c r="J76" s="208">
        <v>41454.898</v>
      </c>
      <c r="K76" s="203">
        <f t="shared" si="21"/>
        <v>-5469.101999999999</v>
      </c>
      <c r="L76" s="151">
        <f t="shared" si="22"/>
        <v>88.34476600460319</v>
      </c>
      <c r="M76" s="343"/>
      <c r="N76" s="343"/>
      <c r="O76" s="343"/>
      <c r="P76" s="337">
        <f t="shared" si="23"/>
        <v>0</v>
      </c>
      <c r="Q76" s="338" t="e">
        <f t="shared" si="24"/>
        <v>#DIV/0!</v>
      </c>
    </row>
    <row r="77" spans="1:17" s="47" customFormat="1" ht="22.5" customHeight="1" hidden="1">
      <c r="A77" s="67" t="s">
        <v>246</v>
      </c>
      <c r="B77" s="56">
        <v>11421190</v>
      </c>
      <c r="C77" s="223">
        <f t="shared" si="18"/>
        <v>0</v>
      </c>
      <c r="D77" s="223">
        <f t="shared" si="18"/>
        <v>0</v>
      </c>
      <c r="E77" s="223">
        <f t="shared" si="17"/>
        <v>233.365</v>
      </c>
      <c r="F77" s="224">
        <f t="shared" si="19"/>
        <v>233.365</v>
      </c>
      <c r="G77" s="151" t="e">
        <f t="shared" si="20"/>
        <v>#DIV/0!</v>
      </c>
      <c r="H77" s="208"/>
      <c r="I77" s="208"/>
      <c r="J77" s="208">
        <v>233.365</v>
      </c>
      <c r="K77" s="203">
        <f t="shared" si="21"/>
        <v>233.365</v>
      </c>
      <c r="L77" s="151" t="e">
        <f t="shared" si="22"/>
        <v>#DIV/0!</v>
      </c>
      <c r="M77" s="343"/>
      <c r="N77" s="343"/>
      <c r="O77" s="343"/>
      <c r="P77" s="337">
        <f t="shared" si="23"/>
        <v>0</v>
      </c>
      <c r="Q77" s="338" t="e">
        <f t="shared" si="24"/>
        <v>#DIV/0!</v>
      </c>
    </row>
    <row r="78" spans="1:17" s="48" customFormat="1" ht="22.5" customHeight="1" hidden="1">
      <c r="A78" s="66" t="s">
        <v>247</v>
      </c>
      <c r="B78" s="65">
        <v>114212</v>
      </c>
      <c r="C78" s="228">
        <f>C79+C80+C81+C82</f>
        <v>0</v>
      </c>
      <c r="D78" s="228">
        <f>D79+D80+D81+D82</f>
        <v>0</v>
      </c>
      <c r="E78" s="228">
        <f>E79+E80+E81+E82</f>
        <v>69.5</v>
      </c>
      <c r="F78" s="226">
        <f t="shared" si="19"/>
        <v>69.5</v>
      </c>
      <c r="G78" s="150" t="e">
        <f t="shared" si="20"/>
        <v>#DIV/0!</v>
      </c>
      <c r="H78" s="209">
        <f>H79+H80+H81+H82</f>
        <v>0</v>
      </c>
      <c r="I78" s="209">
        <f>I79+I80+I81+I82</f>
        <v>0</v>
      </c>
      <c r="J78" s="209">
        <f>J79+J80+J81+J82</f>
        <v>69.5</v>
      </c>
      <c r="K78" s="205">
        <f t="shared" si="21"/>
        <v>69.5</v>
      </c>
      <c r="L78" s="150" t="e">
        <f t="shared" si="22"/>
        <v>#DIV/0!</v>
      </c>
      <c r="M78" s="209">
        <f>M79+M80+M81+M82</f>
        <v>0</v>
      </c>
      <c r="N78" s="209">
        <f>N79+N80+N81+N82</f>
        <v>0</v>
      </c>
      <c r="O78" s="209">
        <f>O79+O80+O81+O82</f>
        <v>0</v>
      </c>
      <c r="P78" s="205">
        <f t="shared" si="23"/>
        <v>0</v>
      </c>
      <c r="Q78" s="150" t="e">
        <f t="shared" si="24"/>
        <v>#DIV/0!</v>
      </c>
    </row>
    <row r="79" spans="1:17" s="47" customFormat="1" ht="22.5" customHeight="1" hidden="1">
      <c r="A79" s="67" t="s">
        <v>248</v>
      </c>
      <c r="B79" s="56">
        <v>11421210</v>
      </c>
      <c r="C79" s="223">
        <f aca="true" t="shared" si="25" ref="C79:E82">H79+M79</f>
        <v>0</v>
      </c>
      <c r="D79" s="223">
        <f t="shared" si="25"/>
        <v>0</v>
      </c>
      <c r="E79" s="223">
        <f t="shared" si="25"/>
        <v>41.5</v>
      </c>
      <c r="F79" s="224">
        <f t="shared" si="19"/>
        <v>41.5</v>
      </c>
      <c r="G79" s="151" t="e">
        <f t="shared" si="20"/>
        <v>#DIV/0!</v>
      </c>
      <c r="H79" s="208"/>
      <c r="I79" s="208"/>
      <c r="J79" s="208">
        <v>41.5</v>
      </c>
      <c r="K79" s="203">
        <f t="shared" si="21"/>
        <v>41.5</v>
      </c>
      <c r="L79" s="151" t="e">
        <f t="shared" si="22"/>
        <v>#DIV/0!</v>
      </c>
      <c r="M79" s="208"/>
      <c r="N79" s="208"/>
      <c r="O79" s="208"/>
      <c r="P79" s="203">
        <f t="shared" si="23"/>
        <v>0</v>
      </c>
      <c r="Q79" s="151" t="e">
        <f t="shared" si="24"/>
        <v>#DIV/0!</v>
      </c>
    </row>
    <row r="80" spans="1:17" s="47" customFormat="1" ht="22.5" customHeight="1" hidden="1">
      <c r="A80" s="67" t="s">
        <v>249</v>
      </c>
      <c r="B80" s="56">
        <v>11421220</v>
      </c>
      <c r="C80" s="223">
        <f t="shared" si="25"/>
        <v>0</v>
      </c>
      <c r="D80" s="223">
        <f t="shared" si="25"/>
        <v>0</v>
      </c>
      <c r="E80" s="223">
        <f t="shared" si="25"/>
        <v>58.4</v>
      </c>
      <c r="F80" s="224">
        <f t="shared" si="19"/>
        <v>58.4</v>
      </c>
      <c r="G80" s="151" t="e">
        <f t="shared" si="20"/>
        <v>#DIV/0!</v>
      </c>
      <c r="H80" s="208"/>
      <c r="I80" s="208"/>
      <c r="J80" s="208">
        <v>58.4</v>
      </c>
      <c r="K80" s="203">
        <f t="shared" si="21"/>
        <v>58.4</v>
      </c>
      <c r="L80" s="151" t="e">
        <f t="shared" si="22"/>
        <v>#DIV/0!</v>
      </c>
      <c r="M80" s="208"/>
      <c r="N80" s="208"/>
      <c r="O80" s="208"/>
      <c r="P80" s="203">
        <f t="shared" si="23"/>
        <v>0</v>
      </c>
      <c r="Q80" s="151" t="e">
        <f t="shared" si="24"/>
        <v>#DIV/0!</v>
      </c>
    </row>
    <row r="81" spans="1:17" s="47" customFormat="1" ht="22.5" customHeight="1" hidden="1">
      <c r="A81" s="67" t="s">
        <v>521</v>
      </c>
      <c r="B81" s="56">
        <v>11421230</v>
      </c>
      <c r="C81" s="223">
        <f t="shared" si="25"/>
        <v>0</v>
      </c>
      <c r="D81" s="223">
        <f t="shared" si="25"/>
        <v>0</v>
      </c>
      <c r="E81" s="223">
        <f t="shared" si="25"/>
        <v>0</v>
      </c>
      <c r="F81" s="224">
        <f t="shared" si="19"/>
        <v>0</v>
      </c>
      <c r="G81" s="151" t="e">
        <f t="shared" si="20"/>
        <v>#DIV/0!</v>
      </c>
      <c r="H81" s="208"/>
      <c r="I81" s="208"/>
      <c r="J81" s="208"/>
      <c r="K81" s="203">
        <f t="shared" si="21"/>
        <v>0</v>
      </c>
      <c r="L81" s="151" t="e">
        <f t="shared" si="22"/>
        <v>#DIV/0!</v>
      </c>
      <c r="M81" s="208"/>
      <c r="N81" s="208"/>
      <c r="O81" s="208"/>
      <c r="P81" s="203">
        <f t="shared" si="23"/>
        <v>0</v>
      </c>
      <c r="Q81" s="151" t="e">
        <f t="shared" si="24"/>
        <v>#DIV/0!</v>
      </c>
    </row>
    <row r="82" spans="1:17" s="47" customFormat="1" ht="22.5" customHeight="1" hidden="1">
      <c r="A82" s="67" t="s">
        <v>251</v>
      </c>
      <c r="B82" s="56">
        <v>11421290</v>
      </c>
      <c r="C82" s="223">
        <f t="shared" si="25"/>
        <v>0</v>
      </c>
      <c r="D82" s="223">
        <f t="shared" si="25"/>
        <v>0</v>
      </c>
      <c r="E82" s="223">
        <f t="shared" si="25"/>
        <v>-30.4</v>
      </c>
      <c r="F82" s="224">
        <f t="shared" si="19"/>
        <v>-30.4</v>
      </c>
      <c r="G82" s="151" t="e">
        <f t="shared" si="20"/>
        <v>#DIV/0!</v>
      </c>
      <c r="H82" s="208"/>
      <c r="I82" s="208"/>
      <c r="J82" s="208">
        <v>-30.4</v>
      </c>
      <c r="K82" s="203">
        <f t="shared" si="21"/>
        <v>-30.4</v>
      </c>
      <c r="L82" s="151" t="e">
        <f t="shared" si="22"/>
        <v>#DIV/0!</v>
      </c>
      <c r="M82" s="208"/>
      <c r="N82" s="208"/>
      <c r="O82" s="208"/>
      <c r="P82" s="203">
        <f t="shared" si="23"/>
        <v>0</v>
      </c>
      <c r="Q82" s="151" t="e">
        <f t="shared" si="24"/>
        <v>#DIV/0!</v>
      </c>
    </row>
    <row r="83" spans="1:17" s="48" customFormat="1" ht="22.5" customHeight="1" hidden="1">
      <c r="A83" s="66" t="s">
        <v>252</v>
      </c>
      <c r="B83" s="65">
        <v>114213</v>
      </c>
      <c r="C83" s="228">
        <f>C84+C85+C86+C87+C88+C89</f>
        <v>686750</v>
      </c>
      <c r="D83" s="228">
        <f>D84+D85+D86+D87+D88+D89</f>
        <v>1065727</v>
      </c>
      <c r="E83" s="228">
        <f>E84+E85+E86+E87+E88+E89</f>
        <v>1045421.638</v>
      </c>
      <c r="F83" s="226">
        <f t="shared" si="19"/>
        <v>-20305.361999999965</v>
      </c>
      <c r="G83" s="150">
        <f t="shared" si="20"/>
        <v>98.09469385686954</v>
      </c>
      <c r="H83" s="209">
        <f>H84+H85+H86+H87+H88+H89</f>
        <v>686750</v>
      </c>
      <c r="I83" s="209">
        <f>I84+I85+I86+I87+I88+I89</f>
        <v>1065727</v>
      </c>
      <c r="J83" s="209">
        <f>J84+J85+J86+J87+J88+J89</f>
        <v>1045421.638</v>
      </c>
      <c r="K83" s="205">
        <f t="shared" si="21"/>
        <v>-20305.361999999965</v>
      </c>
      <c r="L83" s="150">
        <f t="shared" si="22"/>
        <v>98.09469385686954</v>
      </c>
      <c r="M83" s="209">
        <f>M84+M85+M86+M87+M88+M89</f>
        <v>0</v>
      </c>
      <c r="N83" s="209">
        <f>N84+N85+N86+N87+N88+N89</f>
        <v>0</v>
      </c>
      <c r="O83" s="209">
        <f>O84+O85+O86+O87+O88+O89</f>
        <v>0</v>
      </c>
      <c r="P83" s="205">
        <f t="shared" si="23"/>
        <v>0</v>
      </c>
      <c r="Q83" s="150" t="e">
        <f t="shared" si="24"/>
        <v>#DIV/0!</v>
      </c>
    </row>
    <row r="84" spans="1:17" s="47" customFormat="1" ht="22.5" customHeight="1" hidden="1">
      <c r="A84" s="67" t="s">
        <v>253</v>
      </c>
      <c r="B84" s="56">
        <v>11421310</v>
      </c>
      <c r="C84" s="223">
        <f aca="true" t="shared" si="26" ref="C84:D89">H84+M84</f>
        <v>610750</v>
      </c>
      <c r="D84" s="223">
        <f t="shared" si="26"/>
        <v>988982.2</v>
      </c>
      <c r="E84" s="223">
        <f aca="true" t="shared" si="27" ref="E84:E89">J84+O84</f>
        <v>976486.801</v>
      </c>
      <c r="F84" s="224">
        <f t="shared" si="19"/>
        <v>-12495.398999999976</v>
      </c>
      <c r="G84" s="151">
        <f t="shared" si="20"/>
        <v>98.73653954540335</v>
      </c>
      <c r="H84" s="208">
        <v>610750</v>
      </c>
      <c r="I84" s="208">
        <v>988982.2</v>
      </c>
      <c r="J84" s="208">
        <v>976486.801</v>
      </c>
      <c r="K84" s="203">
        <f t="shared" si="21"/>
        <v>-12495.398999999976</v>
      </c>
      <c r="L84" s="151">
        <f t="shared" si="22"/>
        <v>98.73653954540335</v>
      </c>
      <c r="M84" s="208"/>
      <c r="N84" s="208"/>
      <c r="O84" s="208"/>
      <c r="P84" s="203">
        <f t="shared" si="23"/>
        <v>0</v>
      </c>
      <c r="Q84" s="151" t="e">
        <f t="shared" si="24"/>
        <v>#DIV/0!</v>
      </c>
    </row>
    <row r="85" spans="1:17" s="47" customFormat="1" ht="22.5" customHeight="1" hidden="1">
      <c r="A85" s="67" t="s">
        <v>254</v>
      </c>
      <c r="B85" s="56">
        <v>11421320</v>
      </c>
      <c r="C85" s="223">
        <f t="shared" si="26"/>
        <v>0</v>
      </c>
      <c r="D85" s="223">
        <f t="shared" si="26"/>
        <v>0</v>
      </c>
      <c r="E85" s="223">
        <f t="shared" si="27"/>
        <v>0</v>
      </c>
      <c r="F85" s="224">
        <f t="shared" si="19"/>
        <v>0</v>
      </c>
      <c r="G85" s="151" t="e">
        <f t="shared" si="20"/>
        <v>#DIV/0!</v>
      </c>
      <c r="H85" s="208"/>
      <c r="I85" s="208"/>
      <c r="J85" s="208"/>
      <c r="K85" s="203">
        <f t="shared" si="21"/>
        <v>0</v>
      </c>
      <c r="L85" s="151" t="e">
        <f t="shared" si="22"/>
        <v>#DIV/0!</v>
      </c>
      <c r="M85" s="208"/>
      <c r="N85" s="208"/>
      <c r="O85" s="208"/>
      <c r="P85" s="203">
        <f t="shared" si="23"/>
        <v>0</v>
      </c>
      <c r="Q85" s="151" t="e">
        <f t="shared" si="24"/>
        <v>#DIV/0!</v>
      </c>
    </row>
    <row r="86" spans="1:17" s="47" customFormat="1" ht="22.5" customHeight="1" hidden="1">
      <c r="A86" s="67" t="s">
        <v>255</v>
      </c>
      <c r="B86" s="56">
        <v>11421330</v>
      </c>
      <c r="C86" s="223">
        <f t="shared" si="26"/>
        <v>39200</v>
      </c>
      <c r="D86" s="223">
        <f t="shared" si="26"/>
        <v>40818.6</v>
      </c>
      <c r="E86" s="223">
        <f t="shared" si="27"/>
        <v>39059.268</v>
      </c>
      <c r="F86" s="224">
        <f t="shared" si="19"/>
        <v>-1759.3320000000022</v>
      </c>
      <c r="G86" s="151">
        <f t="shared" si="20"/>
        <v>95.68987667386925</v>
      </c>
      <c r="H86" s="208">
        <v>39200</v>
      </c>
      <c r="I86" s="208">
        <v>40818.6</v>
      </c>
      <c r="J86" s="208">
        <v>39059.268</v>
      </c>
      <c r="K86" s="203">
        <f t="shared" si="21"/>
        <v>-1759.3320000000022</v>
      </c>
      <c r="L86" s="151">
        <f t="shared" si="22"/>
        <v>95.68987667386925</v>
      </c>
      <c r="M86" s="208"/>
      <c r="N86" s="208"/>
      <c r="O86" s="208"/>
      <c r="P86" s="203">
        <f t="shared" si="23"/>
        <v>0</v>
      </c>
      <c r="Q86" s="151" t="e">
        <f t="shared" si="24"/>
        <v>#DIV/0!</v>
      </c>
    </row>
    <row r="87" spans="1:17" s="47" customFormat="1" ht="22.5" customHeight="1" hidden="1">
      <c r="A87" s="67" t="s">
        <v>256</v>
      </c>
      <c r="B87" s="56">
        <v>11421340</v>
      </c>
      <c r="C87" s="223">
        <f t="shared" si="26"/>
        <v>36800</v>
      </c>
      <c r="D87" s="223">
        <f t="shared" si="26"/>
        <v>35926.2</v>
      </c>
      <c r="E87" s="223">
        <f t="shared" si="27"/>
        <v>28483.873</v>
      </c>
      <c r="F87" s="224">
        <f t="shared" si="19"/>
        <v>-7442.3269999999975</v>
      </c>
      <c r="G87" s="151">
        <f t="shared" si="20"/>
        <v>79.28440246950694</v>
      </c>
      <c r="H87" s="208">
        <v>36800</v>
      </c>
      <c r="I87" s="208">
        <v>35926.2</v>
      </c>
      <c r="J87" s="208">
        <v>28483.873</v>
      </c>
      <c r="K87" s="203">
        <f t="shared" si="21"/>
        <v>-7442.3269999999975</v>
      </c>
      <c r="L87" s="151">
        <f t="shared" si="22"/>
        <v>79.28440246950694</v>
      </c>
      <c r="M87" s="208"/>
      <c r="N87" s="208"/>
      <c r="O87" s="208"/>
      <c r="P87" s="203">
        <f t="shared" si="23"/>
        <v>0</v>
      </c>
      <c r="Q87" s="151" t="e">
        <f t="shared" si="24"/>
        <v>#DIV/0!</v>
      </c>
    </row>
    <row r="88" spans="1:17" s="47" customFormat="1" ht="22.5" customHeight="1" hidden="1">
      <c r="A88" s="67" t="s">
        <v>257</v>
      </c>
      <c r="B88" s="56">
        <v>11421350</v>
      </c>
      <c r="C88" s="223">
        <f t="shared" si="26"/>
        <v>0</v>
      </c>
      <c r="D88" s="223">
        <f t="shared" si="26"/>
        <v>0</v>
      </c>
      <c r="E88" s="223">
        <f t="shared" si="27"/>
        <v>32.796</v>
      </c>
      <c r="F88" s="224">
        <f t="shared" si="19"/>
        <v>32.796</v>
      </c>
      <c r="G88" s="151" t="e">
        <f t="shared" si="20"/>
        <v>#DIV/0!</v>
      </c>
      <c r="H88" s="208"/>
      <c r="I88" s="208"/>
      <c r="J88" s="208">
        <v>32.796</v>
      </c>
      <c r="K88" s="203">
        <f t="shared" si="21"/>
        <v>32.796</v>
      </c>
      <c r="L88" s="151" t="e">
        <f t="shared" si="22"/>
        <v>#DIV/0!</v>
      </c>
      <c r="M88" s="208"/>
      <c r="N88" s="208"/>
      <c r="O88" s="208"/>
      <c r="P88" s="203">
        <f t="shared" si="23"/>
        <v>0</v>
      </c>
      <c r="Q88" s="151" t="e">
        <f t="shared" si="24"/>
        <v>#DIV/0!</v>
      </c>
    </row>
    <row r="89" spans="1:17" s="47" customFormat="1" ht="22.5" customHeight="1" hidden="1">
      <c r="A89" s="67" t="s">
        <v>258</v>
      </c>
      <c r="B89" s="56">
        <v>11421360</v>
      </c>
      <c r="C89" s="223">
        <f t="shared" si="26"/>
        <v>0</v>
      </c>
      <c r="D89" s="223">
        <f t="shared" si="26"/>
        <v>0</v>
      </c>
      <c r="E89" s="223">
        <f t="shared" si="27"/>
        <v>1358.9</v>
      </c>
      <c r="F89" s="224">
        <f t="shared" si="19"/>
        <v>1358.9</v>
      </c>
      <c r="G89" s="151" t="e">
        <f t="shared" si="20"/>
        <v>#DIV/0!</v>
      </c>
      <c r="H89" s="208"/>
      <c r="I89" s="208"/>
      <c r="J89" s="208">
        <v>1358.9</v>
      </c>
      <c r="K89" s="203">
        <f t="shared" si="21"/>
        <v>1358.9</v>
      </c>
      <c r="L89" s="151" t="e">
        <f t="shared" si="22"/>
        <v>#DIV/0!</v>
      </c>
      <c r="M89" s="208"/>
      <c r="N89" s="208"/>
      <c r="O89" s="208"/>
      <c r="P89" s="203">
        <f t="shared" si="23"/>
        <v>0</v>
      </c>
      <c r="Q89" s="151" t="e">
        <f t="shared" si="24"/>
        <v>#DIV/0!</v>
      </c>
    </row>
    <row r="90" spans="1:17" s="48" customFormat="1" ht="22.5" customHeight="1" hidden="1">
      <c r="A90" s="66" t="s">
        <v>330</v>
      </c>
      <c r="B90" s="65">
        <v>114214</v>
      </c>
      <c r="C90" s="228">
        <f>C91+C92</f>
        <v>0</v>
      </c>
      <c r="D90" s="228">
        <f>D91+D92</f>
        <v>0</v>
      </c>
      <c r="E90" s="228">
        <f>E91+E92</f>
        <v>134.458</v>
      </c>
      <c r="F90" s="226">
        <f t="shared" si="19"/>
        <v>134.458</v>
      </c>
      <c r="G90" s="150" t="e">
        <f t="shared" si="20"/>
        <v>#DIV/0!</v>
      </c>
      <c r="H90" s="209">
        <f>H91+H92</f>
        <v>0</v>
      </c>
      <c r="I90" s="209">
        <f>I91+I92</f>
        <v>0</v>
      </c>
      <c r="J90" s="209">
        <f>J91+J92</f>
        <v>134.458</v>
      </c>
      <c r="K90" s="205">
        <f t="shared" si="21"/>
        <v>134.458</v>
      </c>
      <c r="L90" s="150" t="e">
        <f t="shared" si="22"/>
        <v>#DIV/0!</v>
      </c>
      <c r="M90" s="209">
        <f>M91+M92</f>
        <v>0</v>
      </c>
      <c r="N90" s="209">
        <f>N91+N92</f>
        <v>0</v>
      </c>
      <c r="O90" s="209">
        <f>O91+O92</f>
        <v>0</v>
      </c>
      <c r="P90" s="205">
        <f t="shared" si="23"/>
        <v>0</v>
      </c>
      <c r="Q90" s="150" t="e">
        <f t="shared" si="24"/>
        <v>#DIV/0!</v>
      </c>
    </row>
    <row r="91" spans="1:17" s="47" customFormat="1" ht="22.5" customHeight="1" hidden="1">
      <c r="A91" s="67" t="s">
        <v>259</v>
      </c>
      <c r="B91" s="56">
        <v>11421410</v>
      </c>
      <c r="C91" s="223">
        <f aca="true" t="shared" si="28" ref="C91:E92">H91+M91</f>
        <v>0</v>
      </c>
      <c r="D91" s="223">
        <f t="shared" si="28"/>
        <v>0</v>
      </c>
      <c r="E91" s="223">
        <f t="shared" si="28"/>
        <v>0</v>
      </c>
      <c r="F91" s="224">
        <f t="shared" si="19"/>
        <v>0</v>
      </c>
      <c r="G91" s="151" t="e">
        <f t="shared" si="20"/>
        <v>#DIV/0!</v>
      </c>
      <c r="H91" s="202"/>
      <c r="I91" s="202"/>
      <c r="J91" s="202"/>
      <c r="K91" s="203">
        <f t="shared" si="21"/>
        <v>0</v>
      </c>
      <c r="L91" s="151" t="e">
        <f t="shared" si="22"/>
        <v>#DIV/0!</v>
      </c>
      <c r="M91" s="208"/>
      <c r="N91" s="208"/>
      <c r="O91" s="208"/>
      <c r="P91" s="203">
        <f t="shared" si="23"/>
        <v>0</v>
      </c>
      <c r="Q91" s="151" t="e">
        <f t="shared" si="24"/>
        <v>#DIV/0!</v>
      </c>
    </row>
    <row r="92" spans="1:17" s="47" customFormat="1" ht="22.5" customHeight="1" hidden="1">
      <c r="A92" s="67" t="s">
        <v>330</v>
      </c>
      <c r="B92" s="56">
        <v>11421420</v>
      </c>
      <c r="C92" s="223">
        <f t="shared" si="28"/>
        <v>0</v>
      </c>
      <c r="D92" s="223">
        <f t="shared" si="28"/>
        <v>0</v>
      </c>
      <c r="E92" s="223">
        <f t="shared" si="28"/>
        <v>134.458</v>
      </c>
      <c r="F92" s="224">
        <f t="shared" si="19"/>
        <v>134.458</v>
      </c>
      <c r="G92" s="151" t="e">
        <f t="shared" si="20"/>
        <v>#DIV/0!</v>
      </c>
      <c r="H92" s="208"/>
      <c r="I92" s="208"/>
      <c r="J92" s="208">
        <v>134.458</v>
      </c>
      <c r="K92" s="203">
        <f t="shared" si="21"/>
        <v>134.458</v>
      </c>
      <c r="L92" s="151" t="e">
        <f t="shared" si="22"/>
        <v>#DIV/0!</v>
      </c>
      <c r="M92" s="208"/>
      <c r="N92" s="208"/>
      <c r="O92" s="208"/>
      <c r="P92" s="203">
        <f t="shared" si="23"/>
        <v>0</v>
      </c>
      <c r="Q92" s="151" t="e">
        <f t="shared" si="24"/>
        <v>#DIV/0!</v>
      </c>
    </row>
    <row r="93" spans="1:17" s="48" customFormat="1" ht="22.5" customHeight="1">
      <c r="A93" s="66" t="s">
        <v>470</v>
      </c>
      <c r="B93" s="65">
        <v>11422</v>
      </c>
      <c r="C93" s="347">
        <f>H93+M93</f>
        <v>0</v>
      </c>
      <c r="D93" s="347">
        <f>I93+N93</f>
        <v>0</v>
      </c>
      <c r="E93" s="228">
        <f aca="true" t="shared" si="29" ref="E93:E103">J93+O93</f>
        <v>-793.6110000000001</v>
      </c>
      <c r="F93" s="226">
        <f t="shared" si="19"/>
        <v>-793.6110000000001</v>
      </c>
      <c r="G93" s="342" t="e">
        <f t="shared" si="20"/>
        <v>#DIV/0!</v>
      </c>
      <c r="H93" s="340">
        <f>H94+H104+H109+H116</f>
        <v>0</v>
      </c>
      <c r="I93" s="340">
        <f>I94+I104+I109+I116</f>
        <v>0</v>
      </c>
      <c r="J93" s="209">
        <f>J94+J104+J109+J116</f>
        <v>-793.6110000000001</v>
      </c>
      <c r="K93" s="205">
        <f t="shared" si="21"/>
        <v>-793.6110000000001</v>
      </c>
      <c r="L93" s="342" t="e">
        <f t="shared" si="22"/>
        <v>#DIV/0!</v>
      </c>
      <c r="M93" s="340">
        <f>M94+M104+M109+M116</f>
        <v>0</v>
      </c>
      <c r="N93" s="340">
        <f>N94+N104+N109+N116</f>
        <v>0</v>
      </c>
      <c r="O93" s="340">
        <f>O94+O104+O109+O116</f>
        <v>0</v>
      </c>
      <c r="P93" s="341">
        <f t="shared" si="23"/>
        <v>0</v>
      </c>
      <c r="Q93" s="342" t="e">
        <f t="shared" si="24"/>
        <v>#DIV/0!</v>
      </c>
    </row>
    <row r="94" spans="1:17" s="48" customFormat="1" ht="22.5" customHeight="1" hidden="1">
      <c r="A94" s="66" t="s">
        <v>239</v>
      </c>
      <c r="B94" s="65">
        <v>114221</v>
      </c>
      <c r="C94" s="228">
        <f>C95+C96+C97+C98+C99+C100+C101+C102+C103</f>
        <v>0</v>
      </c>
      <c r="D94" s="228">
        <f>D95+D96+D97+D98+D99+D100+D101+D102+D103</f>
        <v>0</v>
      </c>
      <c r="E94" s="228">
        <f>E95+E96+E97+E98+E99+E100+E101+E102+E103</f>
        <v>345.364</v>
      </c>
      <c r="F94" s="226">
        <f t="shared" si="19"/>
        <v>345.364</v>
      </c>
      <c r="G94" s="150" t="e">
        <f t="shared" si="20"/>
        <v>#DIV/0!</v>
      </c>
      <c r="H94" s="209">
        <f>H95+H96+H97+H98+H99+H100+H101+H102+H103</f>
        <v>0</v>
      </c>
      <c r="I94" s="209">
        <f>I95+I96+I97+I98+I99+I100+I101+I102+I103</f>
        <v>0</v>
      </c>
      <c r="J94" s="209">
        <f>J95+J96+J97+J98+J99+J100+J101+J102+J103</f>
        <v>345.364</v>
      </c>
      <c r="K94" s="205">
        <f t="shared" si="21"/>
        <v>345.364</v>
      </c>
      <c r="L94" s="150" t="e">
        <f t="shared" si="22"/>
        <v>#DIV/0!</v>
      </c>
      <c r="M94" s="340">
        <f>M95+M96+M97+M98+M99+M100+M101+M102+M103</f>
        <v>0</v>
      </c>
      <c r="N94" s="340">
        <f>N95+N96+N97+N98+N99+N100+N101+N102+N103</f>
        <v>0</v>
      </c>
      <c r="O94" s="340">
        <f>O95+O96+O97+O98+O99+O100+O101+O102+O103</f>
        <v>0</v>
      </c>
      <c r="P94" s="341">
        <f t="shared" si="23"/>
        <v>0</v>
      </c>
      <c r="Q94" s="342" t="e">
        <f t="shared" si="24"/>
        <v>#DIV/0!</v>
      </c>
    </row>
    <row r="95" spans="1:17" s="47" customFormat="1" ht="22.5" customHeight="1" hidden="1">
      <c r="A95" s="67" t="s">
        <v>331</v>
      </c>
      <c r="B95" s="56">
        <v>11422110</v>
      </c>
      <c r="C95" s="223">
        <f aca="true" t="shared" si="30" ref="C95:D103">H95+M95</f>
        <v>0</v>
      </c>
      <c r="D95" s="223">
        <f t="shared" si="30"/>
        <v>0</v>
      </c>
      <c r="E95" s="223">
        <f t="shared" si="29"/>
        <v>0.5</v>
      </c>
      <c r="F95" s="224">
        <f t="shared" si="19"/>
        <v>0.5</v>
      </c>
      <c r="G95" s="151" t="e">
        <f t="shared" si="20"/>
        <v>#DIV/0!</v>
      </c>
      <c r="H95" s="202"/>
      <c r="I95" s="202"/>
      <c r="J95" s="208">
        <v>0.5</v>
      </c>
      <c r="K95" s="203">
        <f t="shared" si="21"/>
        <v>0.5</v>
      </c>
      <c r="L95" s="151" t="e">
        <f t="shared" si="22"/>
        <v>#DIV/0!</v>
      </c>
      <c r="M95" s="343"/>
      <c r="N95" s="343"/>
      <c r="O95" s="343"/>
      <c r="P95" s="337">
        <f t="shared" si="23"/>
        <v>0</v>
      </c>
      <c r="Q95" s="338" t="e">
        <f t="shared" si="24"/>
        <v>#DIV/0!</v>
      </c>
    </row>
    <row r="96" spans="1:17" s="47" customFormat="1" ht="22.5" customHeight="1" hidden="1">
      <c r="A96" s="67" t="s">
        <v>240</v>
      </c>
      <c r="B96" s="56">
        <v>11422120</v>
      </c>
      <c r="C96" s="223">
        <f t="shared" si="30"/>
        <v>0</v>
      </c>
      <c r="D96" s="223">
        <f t="shared" si="30"/>
        <v>0</v>
      </c>
      <c r="E96" s="223">
        <f t="shared" si="29"/>
        <v>1.558</v>
      </c>
      <c r="F96" s="224">
        <f t="shared" si="19"/>
        <v>1.558</v>
      </c>
      <c r="G96" s="151" t="e">
        <f t="shared" si="20"/>
        <v>#DIV/0!</v>
      </c>
      <c r="H96" s="208"/>
      <c r="I96" s="208"/>
      <c r="J96" s="208">
        <v>1.558</v>
      </c>
      <c r="K96" s="203">
        <f t="shared" si="21"/>
        <v>1.558</v>
      </c>
      <c r="L96" s="151" t="e">
        <f t="shared" si="22"/>
        <v>#DIV/0!</v>
      </c>
      <c r="M96" s="343"/>
      <c r="N96" s="343"/>
      <c r="O96" s="343"/>
      <c r="P96" s="337">
        <f t="shared" si="23"/>
        <v>0</v>
      </c>
      <c r="Q96" s="338" t="e">
        <f t="shared" si="24"/>
        <v>#DIV/0!</v>
      </c>
    </row>
    <row r="97" spans="1:17" s="47" customFormat="1" ht="22.5" customHeight="1" hidden="1">
      <c r="A97" s="67" t="s">
        <v>241</v>
      </c>
      <c r="B97" s="56">
        <v>11422130</v>
      </c>
      <c r="C97" s="223">
        <f t="shared" si="30"/>
        <v>0</v>
      </c>
      <c r="D97" s="223">
        <f t="shared" si="30"/>
        <v>0</v>
      </c>
      <c r="E97" s="223">
        <f t="shared" si="29"/>
        <v>57.218</v>
      </c>
      <c r="F97" s="224">
        <f t="shared" si="19"/>
        <v>57.218</v>
      </c>
      <c r="G97" s="151" t="e">
        <f t="shared" si="20"/>
        <v>#DIV/0!</v>
      </c>
      <c r="H97" s="208"/>
      <c r="I97" s="208"/>
      <c r="J97" s="208">
        <v>57.218</v>
      </c>
      <c r="K97" s="203">
        <f t="shared" si="21"/>
        <v>57.218</v>
      </c>
      <c r="L97" s="151" t="e">
        <f t="shared" si="22"/>
        <v>#DIV/0!</v>
      </c>
      <c r="M97" s="343"/>
      <c r="N97" s="343"/>
      <c r="O97" s="343"/>
      <c r="P97" s="337">
        <f t="shared" si="23"/>
        <v>0</v>
      </c>
      <c r="Q97" s="338" t="e">
        <f t="shared" si="24"/>
        <v>#DIV/0!</v>
      </c>
    </row>
    <row r="98" spans="1:17" s="47" customFormat="1" ht="22.5" customHeight="1" hidden="1">
      <c r="A98" s="67" t="s">
        <v>242</v>
      </c>
      <c r="B98" s="56">
        <v>11422140</v>
      </c>
      <c r="C98" s="223">
        <f t="shared" si="30"/>
        <v>0</v>
      </c>
      <c r="D98" s="223">
        <f t="shared" si="30"/>
        <v>0</v>
      </c>
      <c r="E98" s="223">
        <f t="shared" si="29"/>
        <v>290.498</v>
      </c>
      <c r="F98" s="224">
        <f t="shared" si="19"/>
        <v>290.498</v>
      </c>
      <c r="G98" s="151" t="e">
        <f t="shared" si="20"/>
        <v>#DIV/0!</v>
      </c>
      <c r="H98" s="208"/>
      <c r="I98" s="208"/>
      <c r="J98" s="208">
        <v>290.498</v>
      </c>
      <c r="K98" s="203">
        <f t="shared" si="21"/>
        <v>290.498</v>
      </c>
      <c r="L98" s="151" t="e">
        <f t="shared" si="22"/>
        <v>#DIV/0!</v>
      </c>
      <c r="M98" s="343"/>
      <c r="N98" s="343"/>
      <c r="O98" s="343"/>
      <c r="P98" s="337">
        <f t="shared" si="23"/>
        <v>0</v>
      </c>
      <c r="Q98" s="338" t="e">
        <f t="shared" si="24"/>
        <v>#DIV/0!</v>
      </c>
    </row>
    <row r="99" spans="1:17" s="47" customFormat="1" ht="22.5" customHeight="1" hidden="1">
      <c r="A99" s="67" t="s">
        <v>243</v>
      </c>
      <c r="B99" s="56">
        <v>11422150</v>
      </c>
      <c r="C99" s="223">
        <f t="shared" si="30"/>
        <v>0</v>
      </c>
      <c r="D99" s="223">
        <f t="shared" si="30"/>
        <v>0</v>
      </c>
      <c r="E99" s="223">
        <f t="shared" si="29"/>
        <v>-4.41</v>
      </c>
      <c r="F99" s="224">
        <f t="shared" si="19"/>
        <v>-4.41</v>
      </c>
      <c r="G99" s="151" t="e">
        <f t="shared" si="20"/>
        <v>#DIV/0!</v>
      </c>
      <c r="H99" s="208"/>
      <c r="I99" s="208"/>
      <c r="J99" s="208">
        <v>-4.41</v>
      </c>
      <c r="K99" s="203">
        <f t="shared" si="21"/>
        <v>-4.41</v>
      </c>
      <c r="L99" s="151" t="e">
        <f t="shared" si="22"/>
        <v>#DIV/0!</v>
      </c>
      <c r="M99" s="343"/>
      <c r="N99" s="343"/>
      <c r="O99" s="343"/>
      <c r="P99" s="337">
        <f t="shared" si="23"/>
        <v>0</v>
      </c>
      <c r="Q99" s="338" t="e">
        <f t="shared" si="24"/>
        <v>#DIV/0!</v>
      </c>
    </row>
    <row r="100" spans="1:17" s="47" customFormat="1" ht="22.5" customHeight="1" hidden="1">
      <c r="A100" s="67" t="s">
        <v>329</v>
      </c>
      <c r="B100" s="56">
        <v>11422160</v>
      </c>
      <c r="C100" s="223">
        <f t="shared" si="30"/>
        <v>0</v>
      </c>
      <c r="D100" s="223">
        <f t="shared" si="30"/>
        <v>0</v>
      </c>
      <c r="E100" s="223">
        <f t="shared" si="29"/>
        <v>0</v>
      </c>
      <c r="F100" s="224">
        <f t="shared" si="19"/>
        <v>0</v>
      </c>
      <c r="G100" s="151" t="e">
        <f t="shared" si="20"/>
        <v>#DIV/0!</v>
      </c>
      <c r="H100" s="208"/>
      <c r="I100" s="208"/>
      <c r="J100" s="208"/>
      <c r="K100" s="203">
        <f t="shared" si="21"/>
        <v>0</v>
      </c>
      <c r="L100" s="151" t="e">
        <f t="shared" si="22"/>
        <v>#DIV/0!</v>
      </c>
      <c r="M100" s="343"/>
      <c r="N100" s="343"/>
      <c r="O100" s="343"/>
      <c r="P100" s="337">
        <f t="shared" si="23"/>
        <v>0</v>
      </c>
      <c r="Q100" s="338" t="e">
        <f t="shared" si="24"/>
        <v>#DIV/0!</v>
      </c>
    </row>
    <row r="101" spans="1:17" s="47" customFormat="1" ht="22.5" customHeight="1" hidden="1">
      <c r="A101" s="67" t="s">
        <v>244</v>
      </c>
      <c r="B101" s="56">
        <v>11422170</v>
      </c>
      <c r="C101" s="223">
        <f t="shared" si="30"/>
        <v>0</v>
      </c>
      <c r="D101" s="223">
        <f t="shared" si="30"/>
        <v>0</v>
      </c>
      <c r="E101" s="223">
        <f t="shared" si="29"/>
        <v>0</v>
      </c>
      <c r="F101" s="224">
        <f t="shared" si="19"/>
        <v>0</v>
      </c>
      <c r="G101" s="151" t="e">
        <f t="shared" si="20"/>
        <v>#DIV/0!</v>
      </c>
      <c r="H101" s="208"/>
      <c r="I101" s="208"/>
      <c r="J101" s="208"/>
      <c r="K101" s="203">
        <f t="shared" si="21"/>
        <v>0</v>
      </c>
      <c r="L101" s="151" t="e">
        <f t="shared" si="22"/>
        <v>#DIV/0!</v>
      </c>
      <c r="M101" s="343"/>
      <c r="N101" s="343"/>
      <c r="O101" s="343"/>
      <c r="P101" s="337">
        <f t="shared" si="23"/>
        <v>0</v>
      </c>
      <c r="Q101" s="338" t="e">
        <f t="shared" si="24"/>
        <v>#DIV/0!</v>
      </c>
    </row>
    <row r="102" spans="1:17" s="47" customFormat="1" ht="22.5" customHeight="1" hidden="1">
      <c r="A102" s="67" t="s">
        <v>245</v>
      </c>
      <c r="B102" s="56">
        <v>11422180</v>
      </c>
      <c r="C102" s="223">
        <f t="shared" si="30"/>
        <v>0</v>
      </c>
      <c r="D102" s="223">
        <f t="shared" si="30"/>
        <v>0</v>
      </c>
      <c r="E102" s="223">
        <f t="shared" si="29"/>
        <v>0</v>
      </c>
      <c r="F102" s="224">
        <f t="shared" si="19"/>
        <v>0</v>
      </c>
      <c r="G102" s="151" t="e">
        <f t="shared" si="20"/>
        <v>#DIV/0!</v>
      </c>
      <c r="H102" s="208"/>
      <c r="I102" s="208"/>
      <c r="J102" s="208"/>
      <c r="K102" s="203">
        <f t="shared" si="21"/>
        <v>0</v>
      </c>
      <c r="L102" s="151" t="e">
        <f t="shared" si="22"/>
        <v>#DIV/0!</v>
      </c>
      <c r="M102" s="343"/>
      <c r="N102" s="343"/>
      <c r="O102" s="343"/>
      <c r="P102" s="337">
        <f t="shared" si="23"/>
        <v>0</v>
      </c>
      <c r="Q102" s="338" t="e">
        <f t="shared" si="24"/>
        <v>#DIV/0!</v>
      </c>
    </row>
    <row r="103" spans="1:17" s="47" customFormat="1" ht="22.5" customHeight="1" hidden="1">
      <c r="A103" s="67" t="s">
        <v>246</v>
      </c>
      <c r="B103" s="56">
        <v>11422190</v>
      </c>
      <c r="C103" s="223">
        <f t="shared" si="30"/>
        <v>0</v>
      </c>
      <c r="D103" s="223">
        <f t="shared" si="30"/>
        <v>0</v>
      </c>
      <c r="E103" s="223">
        <f t="shared" si="29"/>
        <v>0</v>
      </c>
      <c r="F103" s="224">
        <f t="shared" si="19"/>
        <v>0</v>
      </c>
      <c r="G103" s="151" t="e">
        <f t="shared" si="20"/>
        <v>#DIV/0!</v>
      </c>
      <c r="H103" s="208"/>
      <c r="I103" s="208"/>
      <c r="J103" s="208"/>
      <c r="K103" s="203">
        <f t="shared" si="21"/>
        <v>0</v>
      </c>
      <c r="L103" s="151" t="e">
        <f t="shared" si="22"/>
        <v>#DIV/0!</v>
      </c>
      <c r="M103" s="343"/>
      <c r="N103" s="343"/>
      <c r="O103" s="343"/>
      <c r="P103" s="337">
        <f t="shared" si="23"/>
        <v>0</v>
      </c>
      <c r="Q103" s="338" t="e">
        <f t="shared" si="24"/>
        <v>#DIV/0!</v>
      </c>
    </row>
    <row r="104" spans="1:17" s="48" customFormat="1" ht="22.5" customHeight="1" hidden="1">
      <c r="A104" s="66" t="s">
        <v>247</v>
      </c>
      <c r="B104" s="65">
        <v>114222</v>
      </c>
      <c r="C104" s="228">
        <f>C105+C106+C107+C108</f>
        <v>0</v>
      </c>
      <c r="D104" s="228">
        <f>D105+D106+D107+D108</f>
        <v>0</v>
      </c>
      <c r="E104" s="228">
        <f>E105+E106+E107+E108</f>
        <v>94.553</v>
      </c>
      <c r="F104" s="226">
        <f t="shared" si="19"/>
        <v>94.553</v>
      </c>
      <c r="G104" s="150" t="e">
        <f t="shared" si="20"/>
        <v>#DIV/0!</v>
      </c>
      <c r="H104" s="209">
        <f>H105+H106+H107+H108</f>
        <v>0</v>
      </c>
      <c r="I104" s="209">
        <f>I105+I106+I107+I108</f>
        <v>0</v>
      </c>
      <c r="J104" s="209">
        <f>J105+J106+J107+J108</f>
        <v>94.553</v>
      </c>
      <c r="K104" s="205">
        <f t="shared" si="21"/>
        <v>94.553</v>
      </c>
      <c r="L104" s="150" t="e">
        <f t="shared" si="22"/>
        <v>#DIV/0!</v>
      </c>
      <c r="M104" s="340">
        <f>M105+M106+M107+M108</f>
        <v>0</v>
      </c>
      <c r="N104" s="340">
        <f>N105+N106+N107+N108</f>
        <v>0</v>
      </c>
      <c r="O104" s="340">
        <f>O105+O106+O107+O108</f>
        <v>0</v>
      </c>
      <c r="P104" s="341">
        <f t="shared" si="23"/>
        <v>0</v>
      </c>
      <c r="Q104" s="342" t="e">
        <f t="shared" si="24"/>
        <v>#DIV/0!</v>
      </c>
    </row>
    <row r="105" spans="1:17" s="47" customFormat="1" ht="22.5" customHeight="1" hidden="1">
      <c r="A105" s="67" t="s">
        <v>248</v>
      </c>
      <c r="B105" s="56">
        <v>11422210</v>
      </c>
      <c r="C105" s="223">
        <f aca="true" t="shared" si="31" ref="C105:E108">H105+M105</f>
        <v>0</v>
      </c>
      <c r="D105" s="223">
        <f t="shared" si="31"/>
        <v>0</v>
      </c>
      <c r="E105" s="223">
        <f t="shared" si="31"/>
        <v>75.25</v>
      </c>
      <c r="F105" s="224">
        <f t="shared" si="19"/>
        <v>75.25</v>
      </c>
      <c r="G105" s="151" t="e">
        <f t="shared" si="20"/>
        <v>#DIV/0!</v>
      </c>
      <c r="H105" s="208"/>
      <c r="I105" s="208"/>
      <c r="J105" s="208">
        <v>75.25</v>
      </c>
      <c r="K105" s="203">
        <f t="shared" si="21"/>
        <v>75.25</v>
      </c>
      <c r="L105" s="151" t="e">
        <f t="shared" si="22"/>
        <v>#DIV/0!</v>
      </c>
      <c r="M105" s="343"/>
      <c r="N105" s="343"/>
      <c r="O105" s="343"/>
      <c r="P105" s="337">
        <f t="shared" si="23"/>
        <v>0</v>
      </c>
      <c r="Q105" s="338" t="e">
        <f t="shared" si="24"/>
        <v>#DIV/0!</v>
      </c>
    </row>
    <row r="106" spans="1:17" s="47" customFormat="1" ht="22.5" customHeight="1" hidden="1">
      <c r="A106" s="67" t="s">
        <v>249</v>
      </c>
      <c r="B106" s="56">
        <v>11422220</v>
      </c>
      <c r="C106" s="223">
        <f t="shared" si="31"/>
        <v>0</v>
      </c>
      <c r="D106" s="223">
        <f t="shared" si="31"/>
        <v>0</v>
      </c>
      <c r="E106" s="223">
        <f t="shared" si="31"/>
        <v>19.303</v>
      </c>
      <c r="F106" s="224">
        <f t="shared" si="19"/>
        <v>19.303</v>
      </c>
      <c r="G106" s="151" t="e">
        <f t="shared" si="20"/>
        <v>#DIV/0!</v>
      </c>
      <c r="H106" s="208"/>
      <c r="I106" s="208"/>
      <c r="J106" s="208">
        <v>19.303</v>
      </c>
      <c r="K106" s="203">
        <f t="shared" si="21"/>
        <v>19.303</v>
      </c>
      <c r="L106" s="151" t="e">
        <f t="shared" si="22"/>
        <v>#DIV/0!</v>
      </c>
      <c r="M106" s="343"/>
      <c r="N106" s="343"/>
      <c r="O106" s="343"/>
      <c r="P106" s="337">
        <f t="shared" si="23"/>
        <v>0</v>
      </c>
      <c r="Q106" s="338" t="e">
        <f t="shared" si="24"/>
        <v>#DIV/0!</v>
      </c>
    </row>
    <row r="107" spans="1:17" s="47" customFormat="1" ht="22.5" customHeight="1" hidden="1">
      <c r="A107" s="67" t="s">
        <v>250</v>
      </c>
      <c r="B107" s="56">
        <v>11422230</v>
      </c>
      <c r="C107" s="223">
        <f t="shared" si="31"/>
        <v>0</v>
      </c>
      <c r="D107" s="223">
        <f t="shared" si="31"/>
        <v>0</v>
      </c>
      <c r="E107" s="223">
        <f t="shared" si="31"/>
        <v>0</v>
      </c>
      <c r="F107" s="224">
        <f t="shared" si="19"/>
        <v>0</v>
      </c>
      <c r="G107" s="151" t="e">
        <f t="shared" si="20"/>
        <v>#DIV/0!</v>
      </c>
      <c r="H107" s="208"/>
      <c r="I107" s="208"/>
      <c r="J107" s="208"/>
      <c r="K107" s="203">
        <f t="shared" si="21"/>
        <v>0</v>
      </c>
      <c r="L107" s="151" t="e">
        <f t="shared" si="22"/>
        <v>#DIV/0!</v>
      </c>
      <c r="M107" s="343"/>
      <c r="N107" s="343"/>
      <c r="O107" s="343"/>
      <c r="P107" s="337">
        <f t="shared" si="23"/>
        <v>0</v>
      </c>
      <c r="Q107" s="338" t="e">
        <f t="shared" si="24"/>
        <v>#DIV/0!</v>
      </c>
    </row>
    <row r="108" spans="1:17" s="47" customFormat="1" ht="22.5" customHeight="1" hidden="1">
      <c r="A108" s="67" t="s">
        <v>251</v>
      </c>
      <c r="B108" s="56">
        <v>11422290</v>
      </c>
      <c r="C108" s="223">
        <f t="shared" si="31"/>
        <v>0</v>
      </c>
      <c r="D108" s="223">
        <f t="shared" si="31"/>
        <v>0</v>
      </c>
      <c r="E108" s="223">
        <f t="shared" si="31"/>
        <v>0</v>
      </c>
      <c r="F108" s="224">
        <f t="shared" si="19"/>
        <v>0</v>
      </c>
      <c r="G108" s="151" t="e">
        <f t="shared" si="20"/>
        <v>#DIV/0!</v>
      </c>
      <c r="H108" s="208"/>
      <c r="I108" s="208"/>
      <c r="J108" s="208"/>
      <c r="K108" s="203">
        <f t="shared" si="21"/>
        <v>0</v>
      </c>
      <c r="L108" s="151" t="e">
        <f t="shared" si="22"/>
        <v>#DIV/0!</v>
      </c>
      <c r="M108" s="343"/>
      <c r="N108" s="343"/>
      <c r="O108" s="343"/>
      <c r="P108" s="337">
        <f t="shared" si="23"/>
        <v>0</v>
      </c>
      <c r="Q108" s="338" t="e">
        <f t="shared" si="24"/>
        <v>#DIV/0!</v>
      </c>
    </row>
    <row r="109" spans="1:17" s="48" customFormat="1" ht="22.5" customHeight="1" hidden="1">
      <c r="A109" s="66" t="s">
        <v>252</v>
      </c>
      <c r="B109" s="65">
        <v>114223</v>
      </c>
      <c r="C109" s="228">
        <f>C110+C111+C112+C113+C114+C115</f>
        <v>0</v>
      </c>
      <c r="D109" s="228">
        <f>D110+D111+D112+D113+D114+D115</f>
        <v>0</v>
      </c>
      <c r="E109" s="228">
        <f>E110+E111+E112+E113+E114+E115</f>
        <v>-1233.528</v>
      </c>
      <c r="F109" s="226">
        <f t="shared" si="19"/>
        <v>-1233.528</v>
      </c>
      <c r="G109" s="150" t="e">
        <f t="shared" si="20"/>
        <v>#DIV/0!</v>
      </c>
      <c r="H109" s="209">
        <f>H110+H111+H112+H113+H114+H115</f>
        <v>0</v>
      </c>
      <c r="I109" s="209">
        <f>I110+I111+I112+I113+I114+I115</f>
        <v>0</v>
      </c>
      <c r="J109" s="209">
        <f>J110+J111+J112+J113+J114+J115</f>
        <v>-1233.528</v>
      </c>
      <c r="K109" s="205">
        <f t="shared" si="21"/>
        <v>-1233.528</v>
      </c>
      <c r="L109" s="150" t="e">
        <f t="shared" si="22"/>
        <v>#DIV/0!</v>
      </c>
      <c r="M109" s="340">
        <f>M110+M111+M112+M113+M114+M115</f>
        <v>0</v>
      </c>
      <c r="N109" s="340">
        <f>N110+N111+N112+N113+N114+N115</f>
        <v>0</v>
      </c>
      <c r="O109" s="340">
        <f>O110+O111+O112+O113+O114+O115</f>
        <v>0</v>
      </c>
      <c r="P109" s="341">
        <f t="shared" si="23"/>
        <v>0</v>
      </c>
      <c r="Q109" s="342" t="e">
        <f t="shared" si="24"/>
        <v>#DIV/0!</v>
      </c>
    </row>
    <row r="110" spans="1:17" s="47" customFormat="1" ht="22.5" customHeight="1" hidden="1">
      <c r="A110" s="67" t="s">
        <v>253</v>
      </c>
      <c r="B110" s="56">
        <v>11422310</v>
      </c>
      <c r="C110" s="223">
        <f aca="true" t="shared" si="32" ref="C110:D115">H110+M110</f>
        <v>0</v>
      </c>
      <c r="D110" s="223">
        <f t="shared" si="32"/>
        <v>0</v>
      </c>
      <c r="E110" s="223">
        <f aca="true" t="shared" si="33" ref="E110:E115">J110+O110</f>
        <v>-3674.4</v>
      </c>
      <c r="F110" s="224">
        <f t="shared" si="19"/>
        <v>-3674.4</v>
      </c>
      <c r="G110" s="151" t="e">
        <f t="shared" si="20"/>
        <v>#DIV/0!</v>
      </c>
      <c r="H110" s="208"/>
      <c r="I110" s="208"/>
      <c r="J110" s="208">
        <v>-3674.4</v>
      </c>
      <c r="K110" s="203">
        <f t="shared" si="21"/>
        <v>-3674.4</v>
      </c>
      <c r="L110" s="151" t="e">
        <f t="shared" si="22"/>
        <v>#DIV/0!</v>
      </c>
      <c r="M110" s="343"/>
      <c r="N110" s="343"/>
      <c r="O110" s="343"/>
      <c r="P110" s="337">
        <f t="shared" si="23"/>
        <v>0</v>
      </c>
      <c r="Q110" s="338" t="e">
        <f t="shared" si="24"/>
        <v>#DIV/0!</v>
      </c>
    </row>
    <row r="111" spans="1:17" s="47" customFormat="1" ht="22.5" customHeight="1" hidden="1">
      <c r="A111" s="67" t="s">
        <v>254</v>
      </c>
      <c r="B111" s="56">
        <v>11422320</v>
      </c>
      <c r="C111" s="223">
        <f t="shared" si="32"/>
        <v>0</v>
      </c>
      <c r="D111" s="223">
        <f t="shared" si="32"/>
        <v>0</v>
      </c>
      <c r="E111" s="223">
        <f t="shared" si="33"/>
        <v>0</v>
      </c>
      <c r="F111" s="224">
        <f t="shared" si="19"/>
        <v>0</v>
      </c>
      <c r="G111" s="151" t="e">
        <f t="shared" si="20"/>
        <v>#DIV/0!</v>
      </c>
      <c r="H111" s="208"/>
      <c r="I111" s="208"/>
      <c r="J111" s="208"/>
      <c r="K111" s="203">
        <f t="shared" si="21"/>
        <v>0</v>
      </c>
      <c r="L111" s="151" t="e">
        <f t="shared" si="22"/>
        <v>#DIV/0!</v>
      </c>
      <c r="M111" s="343"/>
      <c r="N111" s="343"/>
      <c r="O111" s="343"/>
      <c r="P111" s="337">
        <f t="shared" si="23"/>
        <v>0</v>
      </c>
      <c r="Q111" s="338" t="e">
        <f t="shared" si="24"/>
        <v>#DIV/0!</v>
      </c>
    </row>
    <row r="112" spans="1:17" s="47" customFormat="1" ht="22.5" customHeight="1" hidden="1">
      <c r="A112" s="67" t="s">
        <v>255</v>
      </c>
      <c r="B112" s="56">
        <v>11422330</v>
      </c>
      <c r="C112" s="223">
        <f t="shared" si="32"/>
        <v>0</v>
      </c>
      <c r="D112" s="223">
        <f t="shared" si="32"/>
        <v>0</v>
      </c>
      <c r="E112" s="223">
        <f t="shared" si="33"/>
        <v>756.851</v>
      </c>
      <c r="F112" s="224">
        <f t="shared" si="19"/>
        <v>756.851</v>
      </c>
      <c r="G112" s="151" t="e">
        <f t="shared" si="20"/>
        <v>#DIV/0!</v>
      </c>
      <c r="H112" s="208"/>
      <c r="I112" s="208"/>
      <c r="J112" s="208">
        <v>756.851</v>
      </c>
      <c r="K112" s="203">
        <f t="shared" si="21"/>
        <v>756.851</v>
      </c>
      <c r="L112" s="151" t="e">
        <f t="shared" si="22"/>
        <v>#DIV/0!</v>
      </c>
      <c r="M112" s="343"/>
      <c r="N112" s="343"/>
      <c r="O112" s="343"/>
      <c r="P112" s="337">
        <f t="shared" si="23"/>
        <v>0</v>
      </c>
      <c r="Q112" s="338" t="e">
        <f t="shared" si="24"/>
        <v>#DIV/0!</v>
      </c>
    </row>
    <row r="113" spans="1:17" s="47" customFormat="1" ht="22.5" customHeight="1" hidden="1">
      <c r="A113" s="67" t="s">
        <v>256</v>
      </c>
      <c r="B113" s="56">
        <v>11422340</v>
      </c>
      <c r="C113" s="223">
        <f t="shared" si="32"/>
        <v>0</v>
      </c>
      <c r="D113" s="223">
        <f t="shared" si="32"/>
        <v>0</v>
      </c>
      <c r="E113" s="223">
        <f t="shared" si="33"/>
        <v>0</v>
      </c>
      <c r="F113" s="224">
        <f t="shared" si="19"/>
        <v>0</v>
      </c>
      <c r="G113" s="151" t="e">
        <f t="shared" si="20"/>
        <v>#DIV/0!</v>
      </c>
      <c r="H113" s="208"/>
      <c r="I113" s="208"/>
      <c r="J113" s="208"/>
      <c r="K113" s="203">
        <f t="shared" si="21"/>
        <v>0</v>
      </c>
      <c r="L113" s="151" t="e">
        <f t="shared" si="22"/>
        <v>#DIV/0!</v>
      </c>
      <c r="M113" s="343"/>
      <c r="N113" s="343"/>
      <c r="O113" s="343"/>
      <c r="P113" s="337">
        <f t="shared" si="23"/>
        <v>0</v>
      </c>
      <c r="Q113" s="338" t="e">
        <f t="shared" si="24"/>
        <v>#DIV/0!</v>
      </c>
    </row>
    <row r="114" spans="1:17" s="47" customFormat="1" ht="22.5" customHeight="1" hidden="1">
      <c r="A114" s="67" t="s">
        <v>257</v>
      </c>
      <c r="B114" s="56">
        <v>11422350</v>
      </c>
      <c r="C114" s="223">
        <f t="shared" si="32"/>
        <v>0</v>
      </c>
      <c r="D114" s="223">
        <f t="shared" si="32"/>
        <v>0</v>
      </c>
      <c r="E114" s="223">
        <f t="shared" si="33"/>
        <v>1684.021</v>
      </c>
      <c r="F114" s="224">
        <f t="shared" si="19"/>
        <v>1684.021</v>
      </c>
      <c r="G114" s="151" t="e">
        <f t="shared" si="20"/>
        <v>#DIV/0!</v>
      </c>
      <c r="H114" s="208"/>
      <c r="I114" s="208"/>
      <c r="J114" s="208">
        <v>1684.021</v>
      </c>
      <c r="K114" s="203">
        <f t="shared" si="21"/>
        <v>1684.021</v>
      </c>
      <c r="L114" s="151" t="e">
        <f t="shared" si="22"/>
        <v>#DIV/0!</v>
      </c>
      <c r="M114" s="343"/>
      <c r="N114" s="343"/>
      <c r="O114" s="343"/>
      <c r="P114" s="337">
        <f t="shared" si="23"/>
        <v>0</v>
      </c>
      <c r="Q114" s="338" t="e">
        <f t="shared" si="24"/>
        <v>#DIV/0!</v>
      </c>
    </row>
    <row r="115" spans="1:17" s="47" customFormat="1" ht="22.5" customHeight="1" hidden="1">
      <c r="A115" s="67" t="s">
        <v>258</v>
      </c>
      <c r="B115" s="56">
        <v>11422360</v>
      </c>
      <c r="C115" s="223">
        <f t="shared" si="32"/>
        <v>0</v>
      </c>
      <c r="D115" s="223">
        <f t="shared" si="32"/>
        <v>0</v>
      </c>
      <c r="E115" s="223">
        <f t="shared" si="33"/>
        <v>0</v>
      </c>
      <c r="F115" s="224">
        <f t="shared" si="19"/>
        <v>0</v>
      </c>
      <c r="G115" s="151" t="e">
        <f t="shared" si="20"/>
        <v>#DIV/0!</v>
      </c>
      <c r="H115" s="208"/>
      <c r="I115" s="208"/>
      <c r="J115" s="208"/>
      <c r="K115" s="203">
        <f t="shared" si="21"/>
        <v>0</v>
      </c>
      <c r="L115" s="151" t="e">
        <f t="shared" si="22"/>
        <v>#DIV/0!</v>
      </c>
      <c r="M115" s="343"/>
      <c r="N115" s="343"/>
      <c r="O115" s="343"/>
      <c r="P115" s="337">
        <f t="shared" si="23"/>
        <v>0</v>
      </c>
      <c r="Q115" s="338" t="e">
        <f t="shared" si="24"/>
        <v>#DIV/0!</v>
      </c>
    </row>
    <row r="116" spans="1:17" s="48" customFormat="1" ht="22.5" customHeight="1" hidden="1">
      <c r="A116" s="66" t="s">
        <v>330</v>
      </c>
      <c r="B116" s="65">
        <v>114224</v>
      </c>
      <c r="C116" s="228">
        <f>C117</f>
        <v>0</v>
      </c>
      <c r="D116" s="228">
        <f>D117</f>
        <v>0</v>
      </c>
      <c r="E116" s="228">
        <f>E117</f>
        <v>0</v>
      </c>
      <c r="F116" s="226">
        <f t="shared" si="19"/>
        <v>0</v>
      </c>
      <c r="G116" s="150" t="e">
        <f t="shared" si="20"/>
        <v>#DIV/0!</v>
      </c>
      <c r="H116" s="209">
        <f>H117</f>
        <v>0</v>
      </c>
      <c r="I116" s="209">
        <f>I117</f>
        <v>0</v>
      </c>
      <c r="J116" s="209">
        <f>J117</f>
        <v>0</v>
      </c>
      <c r="K116" s="205">
        <f t="shared" si="21"/>
        <v>0</v>
      </c>
      <c r="L116" s="150" t="e">
        <f t="shared" si="22"/>
        <v>#DIV/0!</v>
      </c>
      <c r="M116" s="340">
        <f>M117</f>
        <v>0</v>
      </c>
      <c r="N116" s="340">
        <f>N117</f>
        <v>0</v>
      </c>
      <c r="O116" s="340">
        <f>O117</f>
        <v>0</v>
      </c>
      <c r="P116" s="341">
        <f t="shared" si="23"/>
        <v>0</v>
      </c>
      <c r="Q116" s="342" t="e">
        <f t="shared" si="24"/>
        <v>#DIV/0!</v>
      </c>
    </row>
    <row r="117" spans="1:17" s="47" customFormat="1" ht="22.5" customHeight="1" hidden="1">
      <c r="A117" s="67" t="s">
        <v>330</v>
      </c>
      <c r="B117" s="56">
        <v>11422410</v>
      </c>
      <c r="C117" s="223">
        <f>H117+M117</f>
        <v>0</v>
      </c>
      <c r="D117" s="223">
        <f>I117+N117</f>
        <v>0</v>
      </c>
      <c r="E117" s="223">
        <f>J117+O117</f>
        <v>0</v>
      </c>
      <c r="F117" s="224">
        <f t="shared" si="19"/>
        <v>0</v>
      </c>
      <c r="G117" s="151" t="e">
        <f t="shared" si="20"/>
        <v>#DIV/0!</v>
      </c>
      <c r="H117" s="208"/>
      <c r="I117" s="208"/>
      <c r="J117" s="208"/>
      <c r="K117" s="203">
        <f t="shared" si="21"/>
        <v>0</v>
      </c>
      <c r="L117" s="151" t="e">
        <f t="shared" si="22"/>
        <v>#DIV/0!</v>
      </c>
      <c r="M117" s="343"/>
      <c r="N117" s="343"/>
      <c r="O117" s="343"/>
      <c r="P117" s="337">
        <f t="shared" si="23"/>
        <v>0</v>
      </c>
      <c r="Q117" s="338" t="e">
        <f t="shared" si="24"/>
        <v>#DIV/0!</v>
      </c>
    </row>
    <row r="118" spans="1:17" s="47" customFormat="1" ht="22.5" customHeight="1">
      <c r="A118" s="66" t="s">
        <v>471</v>
      </c>
      <c r="B118" s="65">
        <v>11423</v>
      </c>
      <c r="C118" s="228">
        <f>C119</f>
        <v>7308300</v>
      </c>
      <c r="D118" s="228">
        <f>D119</f>
        <v>7308300</v>
      </c>
      <c r="E118" s="228">
        <f>E119</f>
        <v>7485585.401</v>
      </c>
      <c r="F118" s="226">
        <f t="shared" si="19"/>
        <v>177285.4009999996</v>
      </c>
      <c r="G118" s="150">
        <f t="shared" si="20"/>
        <v>102.42580902535472</v>
      </c>
      <c r="H118" s="209">
        <f>H119</f>
        <v>7308300</v>
      </c>
      <c r="I118" s="209">
        <f>I119</f>
        <v>7308300</v>
      </c>
      <c r="J118" s="209">
        <f>J119</f>
        <v>7485585.401</v>
      </c>
      <c r="K118" s="205">
        <f t="shared" si="21"/>
        <v>177285.4009999996</v>
      </c>
      <c r="L118" s="150">
        <f t="shared" si="22"/>
        <v>102.42580902535472</v>
      </c>
      <c r="M118" s="340">
        <f>M119</f>
        <v>0</v>
      </c>
      <c r="N118" s="340">
        <f>N119</f>
        <v>0</v>
      </c>
      <c r="O118" s="340">
        <f>O119</f>
        <v>0</v>
      </c>
      <c r="P118" s="341">
        <f t="shared" si="23"/>
        <v>0</v>
      </c>
      <c r="Q118" s="342" t="e">
        <f t="shared" si="24"/>
        <v>#DIV/0!</v>
      </c>
    </row>
    <row r="119" spans="1:17" s="47" customFormat="1" ht="22.5" customHeight="1" hidden="1">
      <c r="A119" s="67" t="s">
        <v>471</v>
      </c>
      <c r="B119" s="56">
        <v>11423100</v>
      </c>
      <c r="C119" s="223">
        <f>H119+M119</f>
        <v>7308300</v>
      </c>
      <c r="D119" s="223">
        <f>I119+N119</f>
        <v>7308300</v>
      </c>
      <c r="E119" s="223">
        <f>J119+O119</f>
        <v>7485585.401</v>
      </c>
      <c r="F119" s="224">
        <f t="shared" si="19"/>
        <v>177285.4009999996</v>
      </c>
      <c r="G119" s="151">
        <f t="shared" si="20"/>
        <v>102.42580902535472</v>
      </c>
      <c r="H119" s="208">
        <v>7308300</v>
      </c>
      <c r="I119" s="208">
        <v>7308300</v>
      </c>
      <c r="J119" s="208">
        <v>7485585.401</v>
      </c>
      <c r="K119" s="203">
        <f t="shared" si="21"/>
        <v>177285.4009999996</v>
      </c>
      <c r="L119" s="151">
        <f t="shared" si="22"/>
        <v>102.42580902535472</v>
      </c>
      <c r="M119" s="343"/>
      <c r="N119" s="343"/>
      <c r="O119" s="343"/>
      <c r="P119" s="337">
        <f t="shared" si="23"/>
        <v>0</v>
      </c>
      <c r="Q119" s="338" t="e">
        <f t="shared" si="24"/>
        <v>#DIV/0!</v>
      </c>
    </row>
    <row r="120" spans="1:17" s="47" customFormat="1" ht="22.5" customHeight="1">
      <c r="A120" s="66" t="s">
        <v>472</v>
      </c>
      <c r="B120" s="65">
        <v>11424</v>
      </c>
      <c r="C120" s="228">
        <f>C121</f>
        <v>150200</v>
      </c>
      <c r="D120" s="228">
        <f>D121</f>
        <v>210200</v>
      </c>
      <c r="E120" s="228">
        <f>E121</f>
        <v>259131.794</v>
      </c>
      <c r="F120" s="226">
        <f t="shared" si="19"/>
        <v>48931.793999999994</v>
      </c>
      <c r="G120" s="150">
        <f t="shared" si="20"/>
        <v>123.27868411037106</v>
      </c>
      <c r="H120" s="209">
        <f>H121</f>
        <v>150200</v>
      </c>
      <c r="I120" s="209">
        <f>I121</f>
        <v>210200</v>
      </c>
      <c r="J120" s="209">
        <f>J121</f>
        <v>259131.794</v>
      </c>
      <c r="K120" s="205">
        <f t="shared" si="21"/>
        <v>48931.793999999994</v>
      </c>
      <c r="L120" s="150">
        <f t="shared" si="22"/>
        <v>123.27868411037106</v>
      </c>
      <c r="M120" s="340">
        <f>M121</f>
        <v>0</v>
      </c>
      <c r="N120" s="340">
        <f>N121</f>
        <v>0</v>
      </c>
      <c r="O120" s="340">
        <f>O121</f>
        <v>0</v>
      </c>
      <c r="P120" s="341">
        <f t="shared" si="23"/>
        <v>0</v>
      </c>
      <c r="Q120" s="342" t="e">
        <f t="shared" si="24"/>
        <v>#DIV/0!</v>
      </c>
    </row>
    <row r="121" spans="1:17" s="47" customFormat="1" ht="22.5" customHeight="1" hidden="1">
      <c r="A121" s="67" t="s">
        <v>472</v>
      </c>
      <c r="B121" s="56">
        <v>11424100</v>
      </c>
      <c r="C121" s="223">
        <f>H121+M121</f>
        <v>150200</v>
      </c>
      <c r="D121" s="223">
        <f>I121+N121</f>
        <v>210200</v>
      </c>
      <c r="E121" s="223">
        <f>J121+O121</f>
        <v>259131.794</v>
      </c>
      <c r="F121" s="224">
        <f t="shared" si="19"/>
        <v>48931.793999999994</v>
      </c>
      <c r="G121" s="151">
        <f t="shared" si="20"/>
        <v>123.27868411037106</v>
      </c>
      <c r="H121" s="208">
        <v>150200</v>
      </c>
      <c r="I121" s="208">
        <v>210200</v>
      </c>
      <c r="J121" s="208">
        <v>259131.794</v>
      </c>
      <c r="K121" s="203">
        <f t="shared" si="21"/>
        <v>48931.793999999994</v>
      </c>
      <c r="L121" s="151">
        <f t="shared" si="22"/>
        <v>123.27868411037106</v>
      </c>
      <c r="M121" s="208"/>
      <c r="N121" s="208"/>
      <c r="O121" s="208"/>
      <c r="P121" s="203">
        <f t="shared" si="23"/>
        <v>0</v>
      </c>
      <c r="Q121" s="151" t="e">
        <f t="shared" si="24"/>
        <v>#DIV/0!</v>
      </c>
    </row>
    <row r="122" spans="1:17" s="45" customFormat="1" ht="22.5" customHeight="1">
      <c r="A122" s="66" t="s">
        <v>332</v>
      </c>
      <c r="B122" s="65">
        <v>1144</v>
      </c>
      <c r="C122" s="227">
        <f>C123+C147</f>
        <v>790150</v>
      </c>
      <c r="D122" s="227">
        <f>D123+D147</f>
        <v>1161650</v>
      </c>
      <c r="E122" s="227">
        <f>E123+E147</f>
        <v>1183912.8409999998</v>
      </c>
      <c r="F122" s="226">
        <f t="shared" si="19"/>
        <v>22262.840999999782</v>
      </c>
      <c r="G122" s="150">
        <f t="shared" si="20"/>
        <v>101.91648439719363</v>
      </c>
      <c r="H122" s="206">
        <f>H123+H147</f>
        <v>682120</v>
      </c>
      <c r="I122" s="206">
        <f>I123+I147</f>
        <v>1023269.6</v>
      </c>
      <c r="J122" s="206">
        <f>J123+J147</f>
        <v>1036320.615</v>
      </c>
      <c r="K122" s="205">
        <f t="shared" si="21"/>
        <v>13051.015000000014</v>
      </c>
      <c r="L122" s="150">
        <f t="shared" si="22"/>
        <v>101.2754229188476</v>
      </c>
      <c r="M122" s="206">
        <f>M123+M147</f>
        <v>108030</v>
      </c>
      <c r="N122" s="206">
        <f>N123+N147</f>
        <v>138380.4</v>
      </c>
      <c r="O122" s="206">
        <f>O123+O147</f>
        <v>147592.226</v>
      </c>
      <c r="P122" s="205">
        <f t="shared" si="23"/>
        <v>9211.826000000001</v>
      </c>
      <c r="Q122" s="150">
        <f t="shared" si="24"/>
        <v>106.65688637986304</v>
      </c>
    </row>
    <row r="123" spans="1:17" s="48" customFormat="1" ht="22.5" customHeight="1">
      <c r="A123" s="66" t="s">
        <v>260</v>
      </c>
      <c r="B123" s="65">
        <v>11441</v>
      </c>
      <c r="C123" s="347">
        <f>H123+M123</f>
        <v>0</v>
      </c>
      <c r="D123" s="228">
        <f>I123+N123</f>
        <v>250000</v>
      </c>
      <c r="E123" s="228">
        <f>E124+E129+E135+E142</f>
        <v>219536.83800000002</v>
      </c>
      <c r="F123" s="226">
        <f t="shared" si="19"/>
        <v>-30463.161999999982</v>
      </c>
      <c r="G123" s="150">
        <f t="shared" si="20"/>
        <v>87.8147352</v>
      </c>
      <c r="H123" s="340">
        <f>H124+H129+H135+H142</f>
        <v>0</v>
      </c>
      <c r="I123" s="209">
        <v>250000</v>
      </c>
      <c r="J123" s="209">
        <f>J124+J129+J135+J142</f>
        <v>219536.83800000002</v>
      </c>
      <c r="K123" s="205">
        <f t="shared" si="21"/>
        <v>-30463.161999999982</v>
      </c>
      <c r="L123" s="150">
        <f t="shared" si="22"/>
        <v>87.8147352</v>
      </c>
      <c r="M123" s="340">
        <f>M124+M129+M135+M142</f>
        <v>0</v>
      </c>
      <c r="N123" s="340">
        <f>N124+N129+N135+N142</f>
        <v>0</v>
      </c>
      <c r="O123" s="340">
        <f>O124+O129+O135+O142</f>
        <v>0</v>
      </c>
      <c r="P123" s="341">
        <f t="shared" si="23"/>
        <v>0</v>
      </c>
      <c r="Q123" s="342" t="e">
        <f t="shared" si="24"/>
        <v>#DIV/0!</v>
      </c>
    </row>
    <row r="124" spans="1:17" s="48" customFormat="1" ht="22.5" customHeight="1" hidden="1">
      <c r="A124" s="66" t="s">
        <v>261</v>
      </c>
      <c r="B124" s="65">
        <v>114411</v>
      </c>
      <c r="C124" s="228">
        <f>C125+C126+C127+C128</f>
        <v>0</v>
      </c>
      <c r="D124" s="228">
        <f>D125+D126+D127+D128</f>
        <v>0</v>
      </c>
      <c r="E124" s="228">
        <f>J124+O124</f>
        <v>25254.478</v>
      </c>
      <c r="F124" s="226">
        <f t="shared" si="19"/>
        <v>25254.478</v>
      </c>
      <c r="G124" s="150" t="e">
        <f t="shared" si="20"/>
        <v>#DIV/0!</v>
      </c>
      <c r="H124" s="209">
        <f>H125+H126+H127+H128</f>
        <v>0</v>
      </c>
      <c r="I124" s="209">
        <f>I125+I126+I127+I128</f>
        <v>0</v>
      </c>
      <c r="J124" s="209">
        <f>J125+J126+J127+J128</f>
        <v>25254.478</v>
      </c>
      <c r="K124" s="205">
        <f t="shared" si="21"/>
        <v>25254.478</v>
      </c>
      <c r="L124" s="150" t="e">
        <f t="shared" si="22"/>
        <v>#DIV/0!</v>
      </c>
      <c r="M124" s="209">
        <f>M125+M126+M127+M128</f>
        <v>0</v>
      </c>
      <c r="N124" s="209">
        <f>N125+N126+N127+N128</f>
        <v>0</v>
      </c>
      <c r="O124" s="209">
        <f>O125+O126+O127+O128</f>
        <v>0</v>
      </c>
      <c r="P124" s="205">
        <f t="shared" si="23"/>
        <v>0</v>
      </c>
      <c r="Q124" s="150" t="e">
        <f t="shared" si="24"/>
        <v>#DIV/0!</v>
      </c>
    </row>
    <row r="125" spans="1:17" s="47" customFormat="1" ht="22.5" customHeight="1" hidden="1">
      <c r="A125" s="67" t="s">
        <v>262</v>
      </c>
      <c r="B125" s="56">
        <v>11441110</v>
      </c>
      <c r="C125" s="223">
        <f aca="true" t="shared" si="34" ref="C125:D128">H125+M125</f>
        <v>0</v>
      </c>
      <c r="D125" s="223">
        <f t="shared" si="34"/>
        <v>0</v>
      </c>
      <c r="E125" s="223">
        <f>J125+O125</f>
        <v>16884.073</v>
      </c>
      <c r="F125" s="224">
        <f t="shared" si="19"/>
        <v>16884.073</v>
      </c>
      <c r="G125" s="151" t="e">
        <f t="shared" si="20"/>
        <v>#DIV/0!</v>
      </c>
      <c r="H125" s="208"/>
      <c r="I125" s="208"/>
      <c r="J125" s="208">
        <v>16884.073</v>
      </c>
      <c r="K125" s="203">
        <f t="shared" si="21"/>
        <v>16884.073</v>
      </c>
      <c r="L125" s="151" t="e">
        <f t="shared" si="22"/>
        <v>#DIV/0!</v>
      </c>
      <c r="M125" s="208"/>
      <c r="N125" s="208"/>
      <c r="O125" s="208"/>
      <c r="P125" s="203">
        <f t="shared" si="23"/>
        <v>0</v>
      </c>
      <c r="Q125" s="151" t="e">
        <f t="shared" si="24"/>
        <v>#DIV/0!</v>
      </c>
    </row>
    <row r="126" spans="1:17" s="47" customFormat="1" ht="22.5" customHeight="1" hidden="1">
      <c r="A126" s="67" t="s">
        <v>263</v>
      </c>
      <c r="B126" s="56">
        <v>11441120</v>
      </c>
      <c r="C126" s="223">
        <f t="shared" si="34"/>
        <v>0</v>
      </c>
      <c r="D126" s="223">
        <f t="shared" si="34"/>
        <v>0</v>
      </c>
      <c r="E126" s="223">
        <f>J126+O126</f>
        <v>0</v>
      </c>
      <c r="F126" s="224">
        <f t="shared" si="19"/>
        <v>0</v>
      </c>
      <c r="G126" s="151" t="e">
        <f t="shared" si="20"/>
        <v>#DIV/0!</v>
      </c>
      <c r="H126" s="208"/>
      <c r="I126" s="208"/>
      <c r="J126" s="208"/>
      <c r="K126" s="203">
        <f t="shared" si="21"/>
        <v>0</v>
      </c>
      <c r="L126" s="151" t="e">
        <f t="shared" si="22"/>
        <v>#DIV/0!</v>
      </c>
      <c r="M126" s="208"/>
      <c r="N126" s="208"/>
      <c r="O126" s="208"/>
      <c r="P126" s="203">
        <f t="shared" si="23"/>
        <v>0</v>
      </c>
      <c r="Q126" s="151" t="e">
        <f t="shared" si="24"/>
        <v>#DIV/0!</v>
      </c>
    </row>
    <row r="127" spans="1:17" s="47" customFormat="1" ht="22.5" customHeight="1" hidden="1">
      <c r="A127" s="67" t="s">
        <v>264</v>
      </c>
      <c r="B127" s="56">
        <v>11441130</v>
      </c>
      <c r="C127" s="223">
        <f t="shared" si="34"/>
        <v>0</v>
      </c>
      <c r="D127" s="223">
        <f t="shared" si="34"/>
        <v>0</v>
      </c>
      <c r="E127" s="223">
        <f>J127+O127</f>
        <v>8252.752</v>
      </c>
      <c r="F127" s="224">
        <f t="shared" si="19"/>
        <v>8252.752</v>
      </c>
      <c r="G127" s="151" t="e">
        <f t="shared" si="20"/>
        <v>#DIV/0!</v>
      </c>
      <c r="H127" s="208"/>
      <c r="I127" s="208"/>
      <c r="J127" s="208">
        <v>8252.752</v>
      </c>
      <c r="K127" s="203">
        <f t="shared" si="21"/>
        <v>8252.752</v>
      </c>
      <c r="L127" s="151" t="e">
        <f t="shared" si="22"/>
        <v>#DIV/0!</v>
      </c>
      <c r="M127" s="208"/>
      <c r="N127" s="208"/>
      <c r="O127" s="208"/>
      <c r="P127" s="203">
        <f t="shared" si="23"/>
        <v>0</v>
      </c>
      <c r="Q127" s="151" t="e">
        <f t="shared" si="24"/>
        <v>#DIV/0!</v>
      </c>
    </row>
    <row r="128" spans="1:17" s="47" customFormat="1" ht="22.5" customHeight="1" hidden="1">
      <c r="A128" s="67" t="s">
        <v>265</v>
      </c>
      <c r="B128" s="56">
        <v>11441190</v>
      </c>
      <c r="C128" s="223">
        <f t="shared" si="34"/>
        <v>0</v>
      </c>
      <c r="D128" s="223">
        <f t="shared" si="34"/>
        <v>0</v>
      </c>
      <c r="E128" s="223">
        <f>J128+O128</f>
        <v>117.653</v>
      </c>
      <c r="F128" s="224">
        <f t="shared" si="19"/>
        <v>117.653</v>
      </c>
      <c r="G128" s="151" t="e">
        <f t="shared" si="20"/>
        <v>#DIV/0!</v>
      </c>
      <c r="H128" s="208"/>
      <c r="I128" s="208"/>
      <c r="J128" s="208">
        <v>117.653</v>
      </c>
      <c r="K128" s="203">
        <f t="shared" si="21"/>
        <v>117.653</v>
      </c>
      <c r="L128" s="151" t="e">
        <f t="shared" si="22"/>
        <v>#DIV/0!</v>
      </c>
      <c r="M128" s="208"/>
      <c r="N128" s="208"/>
      <c r="O128" s="208"/>
      <c r="P128" s="203">
        <f t="shared" si="23"/>
        <v>0</v>
      </c>
      <c r="Q128" s="151" t="e">
        <f t="shared" si="24"/>
        <v>#DIV/0!</v>
      </c>
    </row>
    <row r="129" spans="1:17" s="48" customFormat="1" ht="22.5" customHeight="1" hidden="1">
      <c r="A129" s="66" t="s">
        <v>266</v>
      </c>
      <c r="B129" s="65">
        <v>114412</v>
      </c>
      <c r="C129" s="228">
        <f>C130+C131+C132+C133+C134</f>
        <v>0</v>
      </c>
      <c r="D129" s="228">
        <f>D130+D131+D132+D133+D134</f>
        <v>0</v>
      </c>
      <c r="E129" s="228">
        <f aca="true" t="shared" si="35" ref="E129:E134">J129+O129</f>
        <v>152733.04600000003</v>
      </c>
      <c r="F129" s="226">
        <f t="shared" si="19"/>
        <v>152733.04600000003</v>
      </c>
      <c r="G129" s="150" t="e">
        <f t="shared" si="20"/>
        <v>#DIV/0!</v>
      </c>
      <c r="H129" s="209">
        <f>H130+H131+H132+H133+H134</f>
        <v>0</v>
      </c>
      <c r="I129" s="209">
        <f>I130+I131+I132+I133+I134</f>
        <v>0</v>
      </c>
      <c r="J129" s="209">
        <f>J130+J131+J132+J133+J134</f>
        <v>152733.04600000003</v>
      </c>
      <c r="K129" s="205">
        <f t="shared" si="21"/>
        <v>152733.04600000003</v>
      </c>
      <c r="L129" s="150" t="e">
        <f t="shared" si="22"/>
        <v>#DIV/0!</v>
      </c>
      <c r="M129" s="209">
        <f>M130+M131+M132+M133+M134</f>
        <v>0</v>
      </c>
      <c r="N129" s="209">
        <f>N130+N131+N132+N133+N134</f>
        <v>0</v>
      </c>
      <c r="O129" s="209">
        <f>O130+O131+O132+O133+O134</f>
        <v>0</v>
      </c>
      <c r="P129" s="205">
        <f t="shared" si="23"/>
        <v>0</v>
      </c>
      <c r="Q129" s="150" t="e">
        <f t="shared" si="24"/>
        <v>#DIV/0!</v>
      </c>
    </row>
    <row r="130" spans="1:17" s="47" customFormat="1" ht="22.5" customHeight="1" hidden="1">
      <c r="A130" s="67" t="s">
        <v>267</v>
      </c>
      <c r="B130" s="56">
        <v>11441210</v>
      </c>
      <c r="C130" s="223">
        <f aca="true" t="shared" si="36" ref="C130:D134">H130+M130</f>
        <v>0</v>
      </c>
      <c r="D130" s="223">
        <f t="shared" si="36"/>
        <v>0</v>
      </c>
      <c r="E130" s="223">
        <f t="shared" si="35"/>
        <v>147536.059</v>
      </c>
      <c r="F130" s="224">
        <f t="shared" si="19"/>
        <v>147536.059</v>
      </c>
      <c r="G130" s="151" t="e">
        <f t="shared" si="20"/>
        <v>#DIV/0!</v>
      </c>
      <c r="H130" s="208"/>
      <c r="I130" s="208"/>
      <c r="J130" s="208">
        <v>147536.059</v>
      </c>
      <c r="K130" s="203">
        <f t="shared" si="21"/>
        <v>147536.059</v>
      </c>
      <c r="L130" s="151" t="e">
        <f t="shared" si="22"/>
        <v>#DIV/0!</v>
      </c>
      <c r="M130" s="208"/>
      <c r="N130" s="208"/>
      <c r="O130" s="208"/>
      <c r="P130" s="203">
        <f t="shared" si="23"/>
        <v>0</v>
      </c>
      <c r="Q130" s="151" t="e">
        <f t="shared" si="24"/>
        <v>#DIV/0!</v>
      </c>
    </row>
    <row r="131" spans="1:17" s="47" customFormat="1" ht="22.5" customHeight="1" hidden="1">
      <c r="A131" s="67" t="s">
        <v>268</v>
      </c>
      <c r="B131" s="56">
        <v>11441220</v>
      </c>
      <c r="C131" s="223">
        <f t="shared" si="36"/>
        <v>0</v>
      </c>
      <c r="D131" s="223">
        <f t="shared" si="36"/>
        <v>0</v>
      </c>
      <c r="E131" s="223">
        <f t="shared" si="35"/>
        <v>19.798</v>
      </c>
      <c r="F131" s="224">
        <f t="shared" si="19"/>
        <v>19.798</v>
      </c>
      <c r="G131" s="151" t="e">
        <f t="shared" si="20"/>
        <v>#DIV/0!</v>
      </c>
      <c r="H131" s="208"/>
      <c r="I131" s="208"/>
      <c r="J131" s="208">
        <v>19.798</v>
      </c>
      <c r="K131" s="203">
        <f t="shared" si="21"/>
        <v>19.798</v>
      </c>
      <c r="L131" s="151" t="e">
        <f t="shared" si="22"/>
        <v>#DIV/0!</v>
      </c>
      <c r="M131" s="208"/>
      <c r="N131" s="208"/>
      <c r="O131" s="208"/>
      <c r="P131" s="203">
        <f t="shared" si="23"/>
        <v>0</v>
      </c>
      <c r="Q131" s="151" t="e">
        <f t="shared" si="24"/>
        <v>#DIV/0!</v>
      </c>
    </row>
    <row r="132" spans="1:17" s="47" customFormat="1" ht="22.5" customHeight="1" hidden="1">
      <c r="A132" s="67" t="s">
        <v>269</v>
      </c>
      <c r="B132" s="56">
        <v>11441230</v>
      </c>
      <c r="C132" s="223">
        <f t="shared" si="36"/>
        <v>0</v>
      </c>
      <c r="D132" s="223">
        <f t="shared" si="36"/>
        <v>0</v>
      </c>
      <c r="E132" s="223">
        <f t="shared" si="35"/>
        <v>10.337</v>
      </c>
      <c r="F132" s="224">
        <f t="shared" si="19"/>
        <v>10.337</v>
      </c>
      <c r="G132" s="151" t="e">
        <f t="shared" si="20"/>
        <v>#DIV/0!</v>
      </c>
      <c r="H132" s="208"/>
      <c r="I132" s="208"/>
      <c r="J132" s="208">
        <v>10.337</v>
      </c>
      <c r="K132" s="203">
        <f t="shared" si="21"/>
        <v>10.337</v>
      </c>
      <c r="L132" s="151" t="e">
        <f t="shared" si="22"/>
        <v>#DIV/0!</v>
      </c>
      <c r="M132" s="208"/>
      <c r="N132" s="208"/>
      <c r="O132" s="208"/>
      <c r="P132" s="203">
        <f t="shared" si="23"/>
        <v>0</v>
      </c>
      <c r="Q132" s="151" t="e">
        <f t="shared" si="24"/>
        <v>#DIV/0!</v>
      </c>
    </row>
    <row r="133" spans="1:17" s="47" customFormat="1" ht="22.5" customHeight="1" hidden="1">
      <c r="A133" s="67" t="s">
        <v>270</v>
      </c>
      <c r="B133" s="56">
        <v>11441240</v>
      </c>
      <c r="C133" s="223">
        <f t="shared" si="36"/>
        <v>0</v>
      </c>
      <c r="D133" s="223">
        <f t="shared" si="36"/>
        <v>0</v>
      </c>
      <c r="E133" s="223">
        <f t="shared" si="35"/>
        <v>0</v>
      </c>
      <c r="F133" s="224">
        <f t="shared" si="19"/>
        <v>0</v>
      </c>
      <c r="G133" s="151" t="e">
        <f t="shared" si="20"/>
        <v>#DIV/0!</v>
      </c>
      <c r="H133" s="208"/>
      <c r="I133" s="208"/>
      <c r="J133" s="208"/>
      <c r="K133" s="203">
        <f t="shared" si="21"/>
        <v>0</v>
      </c>
      <c r="L133" s="151" t="e">
        <f t="shared" si="22"/>
        <v>#DIV/0!</v>
      </c>
      <c r="M133" s="208"/>
      <c r="N133" s="208"/>
      <c r="O133" s="208"/>
      <c r="P133" s="203">
        <f t="shared" si="23"/>
        <v>0</v>
      </c>
      <c r="Q133" s="151" t="e">
        <f t="shared" si="24"/>
        <v>#DIV/0!</v>
      </c>
    </row>
    <row r="134" spans="1:17" s="47" customFormat="1" ht="22.5" customHeight="1" hidden="1">
      <c r="A134" s="67" t="s">
        <v>271</v>
      </c>
      <c r="B134" s="56">
        <v>11441290</v>
      </c>
      <c r="C134" s="223">
        <f t="shared" si="36"/>
        <v>0</v>
      </c>
      <c r="D134" s="223">
        <f t="shared" si="36"/>
        <v>0</v>
      </c>
      <c r="E134" s="223">
        <f t="shared" si="35"/>
        <v>5166.852</v>
      </c>
      <c r="F134" s="224">
        <f t="shared" si="19"/>
        <v>5166.852</v>
      </c>
      <c r="G134" s="151" t="e">
        <f t="shared" si="20"/>
        <v>#DIV/0!</v>
      </c>
      <c r="H134" s="208"/>
      <c r="I134" s="208"/>
      <c r="J134" s="208">
        <v>5166.852</v>
      </c>
      <c r="K134" s="203">
        <f t="shared" si="21"/>
        <v>5166.852</v>
      </c>
      <c r="L134" s="151" t="e">
        <f t="shared" si="22"/>
        <v>#DIV/0!</v>
      </c>
      <c r="M134" s="208"/>
      <c r="N134" s="208"/>
      <c r="O134" s="208"/>
      <c r="P134" s="203">
        <f t="shared" si="23"/>
        <v>0</v>
      </c>
      <c r="Q134" s="151" t="e">
        <f t="shared" si="24"/>
        <v>#DIV/0!</v>
      </c>
    </row>
    <row r="135" spans="1:17" s="48" customFormat="1" ht="22.5" customHeight="1" hidden="1">
      <c r="A135" s="66" t="s">
        <v>272</v>
      </c>
      <c r="B135" s="65">
        <v>114413</v>
      </c>
      <c r="C135" s="228">
        <f>C136+C137+C138+C139+C140+C141</f>
        <v>0</v>
      </c>
      <c r="D135" s="228">
        <f>D136+D137+D138+D139+D140+D141</f>
        <v>0</v>
      </c>
      <c r="E135" s="228">
        <f aca="true" t="shared" si="37" ref="E135:E141">J135+O135</f>
        <v>34263.121</v>
      </c>
      <c r="F135" s="226">
        <f t="shared" si="19"/>
        <v>34263.121</v>
      </c>
      <c r="G135" s="150" t="e">
        <f t="shared" si="20"/>
        <v>#DIV/0!</v>
      </c>
      <c r="H135" s="209">
        <f>H136+H137+H138+H139+H140+H141</f>
        <v>0</v>
      </c>
      <c r="I135" s="209">
        <f>I136+I137+I138+I139+I140+I141</f>
        <v>0</v>
      </c>
      <c r="J135" s="209">
        <f>J136+J137+J138+J139+J140+J141</f>
        <v>34263.121</v>
      </c>
      <c r="K135" s="205">
        <f t="shared" si="21"/>
        <v>34263.121</v>
      </c>
      <c r="L135" s="150" t="e">
        <f t="shared" si="22"/>
        <v>#DIV/0!</v>
      </c>
      <c r="M135" s="209">
        <f>M136+M137+M138+M139+M140+M141</f>
        <v>0</v>
      </c>
      <c r="N135" s="209">
        <f>N136+N137+N138+N139+N140+N141</f>
        <v>0</v>
      </c>
      <c r="O135" s="209">
        <f>O136+O137+O138+O139+O140+O141</f>
        <v>0</v>
      </c>
      <c r="P135" s="205">
        <f t="shared" si="23"/>
        <v>0</v>
      </c>
      <c r="Q135" s="150" t="e">
        <f t="shared" si="24"/>
        <v>#DIV/0!</v>
      </c>
    </row>
    <row r="136" spans="1:17" s="47" customFormat="1" ht="22.5" customHeight="1" hidden="1">
      <c r="A136" s="67" t="s">
        <v>273</v>
      </c>
      <c r="B136" s="56">
        <v>11441310</v>
      </c>
      <c r="C136" s="223">
        <f aca="true" t="shared" si="38" ref="C136:D141">H136+M136</f>
        <v>0</v>
      </c>
      <c r="D136" s="223">
        <f t="shared" si="38"/>
        <v>0</v>
      </c>
      <c r="E136" s="223">
        <f t="shared" si="37"/>
        <v>11980.519</v>
      </c>
      <c r="F136" s="224">
        <f t="shared" si="19"/>
        <v>11980.519</v>
      </c>
      <c r="G136" s="151" t="e">
        <f t="shared" si="20"/>
        <v>#DIV/0!</v>
      </c>
      <c r="H136" s="208"/>
      <c r="I136" s="208"/>
      <c r="J136" s="208">
        <v>11980.519</v>
      </c>
      <c r="K136" s="203">
        <f t="shared" si="21"/>
        <v>11980.519</v>
      </c>
      <c r="L136" s="151" t="e">
        <f t="shared" si="22"/>
        <v>#DIV/0!</v>
      </c>
      <c r="M136" s="208"/>
      <c r="N136" s="208"/>
      <c r="O136" s="208"/>
      <c r="P136" s="203">
        <f t="shared" si="23"/>
        <v>0</v>
      </c>
      <c r="Q136" s="151" t="e">
        <f t="shared" si="24"/>
        <v>#DIV/0!</v>
      </c>
    </row>
    <row r="137" spans="1:17" s="47" customFormat="1" ht="22.5" customHeight="1" hidden="1">
      <c r="A137" s="67" t="s">
        <v>333</v>
      </c>
      <c r="B137" s="56">
        <v>11441320</v>
      </c>
      <c r="C137" s="223">
        <f t="shared" si="38"/>
        <v>0</v>
      </c>
      <c r="D137" s="223">
        <f t="shared" si="38"/>
        <v>0</v>
      </c>
      <c r="E137" s="223">
        <f t="shared" si="37"/>
        <v>4487.732</v>
      </c>
      <c r="F137" s="224">
        <f t="shared" si="19"/>
        <v>4487.732</v>
      </c>
      <c r="G137" s="151" t="e">
        <f t="shared" si="20"/>
        <v>#DIV/0!</v>
      </c>
      <c r="H137" s="208"/>
      <c r="I137" s="208"/>
      <c r="J137" s="208">
        <v>4487.732</v>
      </c>
      <c r="K137" s="203">
        <f t="shared" si="21"/>
        <v>4487.732</v>
      </c>
      <c r="L137" s="151" t="e">
        <f t="shared" si="22"/>
        <v>#DIV/0!</v>
      </c>
      <c r="M137" s="208"/>
      <c r="N137" s="208"/>
      <c r="O137" s="208"/>
      <c r="P137" s="203">
        <f t="shared" si="23"/>
        <v>0</v>
      </c>
      <c r="Q137" s="151" t="e">
        <f t="shared" si="24"/>
        <v>#DIV/0!</v>
      </c>
    </row>
    <row r="138" spans="1:17" s="47" customFormat="1" ht="22.5" customHeight="1" hidden="1">
      <c r="A138" s="67" t="s">
        <v>334</v>
      </c>
      <c r="B138" s="56">
        <v>11441330</v>
      </c>
      <c r="C138" s="223">
        <f t="shared" si="38"/>
        <v>0</v>
      </c>
      <c r="D138" s="223">
        <f t="shared" si="38"/>
        <v>0</v>
      </c>
      <c r="E138" s="223">
        <f t="shared" si="37"/>
        <v>311.87</v>
      </c>
      <c r="F138" s="224">
        <f t="shared" si="19"/>
        <v>311.87</v>
      </c>
      <c r="G138" s="151" t="e">
        <f t="shared" si="20"/>
        <v>#DIV/0!</v>
      </c>
      <c r="H138" s="208"/>
      <c r="I138" s="208"/>
      <c r="J138" s="208">
        <v>311.87</v>
      </c>
      <c r="K138" s="203">
        <f t="shared" si="21"/>
        <v>311.87</v>
      </c>
      <c r="L138" s="151" t="e">
        <f t="shared" si="22"/>
        <v>#DIV/0!</v>
      </c>
      <c r="M138" s="208"/>
      <c r="N138" s="208"/>
      <c r="O138" s="208"/>
      <c r="P138" s="203">
        <f t="shared" si="23"/>
        <v>0</v>
      </c>
      <c r="Q138" s="151" t="e">
        <f t="shared" si="24"/>
        <v>#DIV/0!</v>
      </c>
    </row>
    <row r="139" spans="1:17" s="47" customFormat="1" ht="22.5" customHeight="1" hidden="1">
      <c r="A139" s="67" t="s">
        <v>274</v>
      </c>
      <c r="B139" s="56">
        <v>11441340</v>
      </c>
      <c r="C139" s="223">
        <f t="shared" si="38"/>
        <v>0</v>
      </c>
      <c r="D139" s="223">
        <f t="shared" si="38"/>
        <v>0</v>
      </c>
      <c r="E139" s="223">
        <f t="shared" si="37"/>
        <v>5557.521</v>
      </c>
      <c r="F139" s="224">
        <f aca="true" t="shared" si="39" ref="F139:F202">E139-D139</f>
        <v>5557.521</v>
      </c>
      <c r="G139" s="151" t="e">
        <f aca="true" t="shared" si="40" ref="G139:G202">E139/D139*100</f>
        <v>#DIV/0!</v>
      </c>
      <c r="H139" s="208"/>
      <c r="I139" s="208"/>
      <c r="J139" s="208">
        <v>5557.521</v>
      </c>
      <c r="K139" s="203">
        <f aca="true" t="shared" si="41" ref="K139:K202">J139-I139</f>
        <v>5557.521</v>
      </c>
      <c r="L139" s="151" t="e">
        <f aca="true" t="shared" si="42" ref="L139:L202">J139/I139*100</f>
        <v>#DIV/0!</v>
      </c>
      <c r="M139" s="208"/>
      <c r="N139" s="208"/>
      <c r="O139" s="208"/>
      <c r="P139" s="203">
        <f aca="true" t="shared" si="43" ref="P139:P202">O139-N139</f>
        <v>0</v>
      </c>
      <c r="Q139" s="151" t="e">
        <f aca="true" t="shared" si="44" ref="Q139:Q202">O139/N139*100</f>
        <v>#DIV/0!</v>
      </c>
    </row>
    <row r="140" spans="1:17" s="47" customFormat="1" ht="22.5" customHeight="1" hidden="1">
      <c r="A140" s="67" t="s">
        <v>275</v>
      </c>
      <c r="B140" s="56">
        <v>11441350</v>
      </c>
      <c r="C140" s="223">
        <f t="shared" si="38"/>
        <v>0</v>
      </c>
      <c r="D140" s="223">
        <f t="shared" si="38"/>
        <v>0</v>
      </c>
      <c r="E140" s="223">
        <f t="shared" si="37"/>
        <v>191.984</v>
      </c>
      <c r="F140" s="224">
        <f t="shared" si="39"/>
        <v>191.984</v>
      </c>
      <c r="G140" s="151" t="e">
        <f t="shared" si="40"/>
        <v>#DIV/0!</v>
      </c>
      <c r="H140" s="208"/>
      <c r="I140" s="208"/>
      <c r="J140" s="208">
        <v>191.984</v>
      </c>
      <c r="K140" s="203">
        <f t="shared" si="41"/>
        <v>191.984</v>
      </c>
      <c r="L140" s="151" t="e">
        <f t="shared" si="42"/>
        <v>#DIV/0!</v>
      </c>
      <c r="M140" s="208"/>
      <c r="N140" s="208"/>
      <c r="O140" s="208"/>
      <c r="P140" s="203">
        <f t="shared" si="43"/>
        <v>0</v>
      </c>
      <c r="Q140" s="151" t="e">
        <f t="shared" si="44"/>
        <v>#DIV/0!</v>
      </c>
    </row>
    <row r="141" spans="1:17" s="47" customFormat="1" ht="22.5" customHeight="1" hidden="1">
      <c r="A141" s="67" t="s">
        <v>276</v>
      </c>
      <c r="B141" s="56">
        <v>11441390</v>
      </c>
      <c r="C141" s="223">
        <f t="shared" si="38"/>
        <v>0</v>
      </c>
      <c r="D141" s="223">
        <f t="shared" si="38"/>
        <v>0</v>
      </c>
      <c r="E141" s="223">
        <f t="shared" si="37"/>
        <v>11733.495</v>
      </c>
      <c r="F141" s="224">
        <f t="shared" si="39"/>
        <v>11733.495</v>
      </c>
      <c r="G141" s="151" t="e">
        <f t="shared" si="40"/>
        <v>#DIV/0!</v>
      </c>
      <c r="H141" s="208"/>
      <c r="I141" s="208"/>
      <c r="J141" s="208">
        <v>11733.495</v>
      </c>
      <c r="K141" s="203">
        <f t="shared" si="41"/>
        <v>11733.495</v>
      </c>
      <c r="L141" s="151" t="e">
        <f t="shared" si="42"/>
        <v>#DIV/0!</v>
      </c>
      <c r="M141" s="208"/>
      <c r="N141" s="208"/>
      <c r="O141" s="208"/>
      <c r="P141" s="203">
        <f t="shared" si="43"/>
        <v>0</v>
      </c>
      <c r="Q141" s="151" t="e">
        <f t="shared" si="44"/>
        <v>#DIV/0!</v>
      </c>
    </row>
    <row r="142" spans="1:17" s="48" customFormat="1" ht="22.5" customHeight="1" hidden="1">
      <c r="A142" s="66" t="s">
        <v>277</v>
      </c>
      <c r="B142" s="65">
        <v>114414</v>
      </c>
      <c r="C142" s="228">
        <f>C143+C144+C145+C146</f>
        <v>0</v>
      </c>
      <c r="D142" s="228">
        <f>D143+D144+D145+D146</f>
        <v>0</v>
      </c>
      <c r="E142" s="228">
        <f>J142+O142</f>
        <v>7286.192999999999</v>
      </c>
      <c r="F142" s="226">
        <f t="shared" si="39"/>
        <v>7286.192999999999</v>
      </c>
      <c r="G142" s="150" t="e">
        <f t="shared" si="40"/>
        <v>#DIV/0!</v>
      </c>
      <c r="H142" s="209">
        <f>H143+H144+H145+H146</f>
        <v>0</v>
      </c>
      <c r="I142" s="209">
        <f>I143+I144+I145+I146</f>
        <v>0</v>
      </c>
      <c r="J142" s="209">
        <f>J143+J144+J145+J146</f>
        <v>7286.192999999999</v>
      </c>
      <c r="K142" s="205">
        <f t="shared" si="41"/>
        <v>7286.192999999999</v>
      </c>
      <c r="L142" s="150" t="e">
        <f t="shared" si="42"/>
        <v>#DIV/0!</v>
      </c>
      <c r="M142" s="209">
        <f>M143+M144+M145+M146</f>
        <v>0</v>
      </c>
      <c r="N142" s="209">
        <f>N143+N144+N145+N146</f>
        <v>0</v>
      </c>
      <c r="O142" s="209">
        <f>O143+O144+O145+O146</f>
        <v>0</v>
      </c>
      <c r="P142" s="205">
        <f t="shared" si="43"/>
        <v>0</v>
      </c>
      <c r="Q142" s="150" t="e">
        <f t="shared" si="44"/>
        <v>#DIV/0!</v>
      </c>
    </row>
    <row r="143" spans="1:17" s="47" customFormat="1" ht="22.5" customHeight="1" hidden="1">
      <c r="A143" s="67" t="s">
        <v>335</v>
      </c>
      <c r="B143" s="56">
        <v>11441410</v>
      </c>
      <c r="C143" s="223">
        <f aca="true" t="shared" si="45" ref="C143:D147">H143+M143</f>
        <v>0</v>
      </c>
      <c r="D143" s="223">
        <f t="shared" si="45"/>
        <v>0</v>
      </c>
      <c r="E143" s="223">
        <f>J143+O143</f>
        <v>845.362</v>
      </c>
      <c r="F143" s="224">
        <f t="shared" si="39"/>
        <v>845.362</v>
      </c>
      <c r="G143" s="151" t="e">
        <f t="shared" si="40"/>
        <v>#DIV/0!</v>
      </c>
      <c r="H143" s="208"/>
      <c r="I143" s="208"/>
      <c r="J143" s="208">
        <v>845.362</v>
      </c>
      <c r="K143" s="203">
        <f t="shared" si="41"/>
        <v>845.362</v>
      </c>
      <c r="L143" s="151" t="e">
        <f t="shared" si="42"/>
        <v>#DIV/0!</v>
      </c>
      <c r="M143" s="208"/>
      <c r="N143" s="208"/>
      <c r="O143" s="208"/>
      <c r="P143" s="203">
        <f t="shared" si="43"/>
        <v>0</v>
      </c>
      <c r="Q143" s="151" t="e">
        <f t="shared" si="44"/>
        <v>#DIV/0!</v>
      </c>
    </row>
    <row r="144" spans="1:17" s="47" customFormat="1" ht="22.5" customHeight="1" hidden="1">
      <c r="A144" s="67" t="s">
        <v>336</v>
      </c>
      <c r="B144" s="56">
        <v>11441420</v>
      </c>
      <c r="C144" s="223">
        <f t="shared" si="45"/>
        <v>0</v>
      </c>
      <c r="D144" s="223">
        <f t="shared" si="45"/>
        <v>0</v>
      </c>
      <c r="E144" s="223">
        <f>J144+O144</f>
        <v>956.188</v>
      </c>
      <c r="F144" s="224">
        <f t="shared" si="39"/>
        <v>956.188</v>
      </c>
      <c r="G144" s="151" t="e">
        <f t="shared" si="40"/>
        <v>#DIV/0!</v>
      </c>
      <c r="H144" s="208"/>
      <c r="I144" s="208"/>
      <c r="J144" s="208">
        <v>956.188</v>
      </c>
      <c r="K144" s="203">
        <f t="shared" si="41"/>
        <v>956.188</v>
      </c>
      <c r="L144" s="151" t="e">
        <f t="shared" si="42"/>
        <v>#DIV/0!</v>
      </c>
      <c r="M144" s="208"/>
      <c r="N144" s="208"/>
      <c r="O144" s="208"/>
      <c r="P144" s="203">
        <f t="shared" si="43"/>
        <v>0</v>
      </c>
      <c r="Q144" s="151" t="e">
        <f t="shared" si="44"/>
        <v>#DIV/0!</v>
      </c>
    </row>
    <row r="145" spans="1:17" s="47" customFormat="1" ht="22.5" customHeight="1" hidden="1">
      <c r="A145" s="67" t="s">
        <v>337</v>
      </c>
      <c r="B145" s="56">
        <v>11441430</v>
      </c>
      <c r="C145" s="223">
        <f t="shared" si="45"/>
        <v>0</v>
      </c>
      <c r="D145" s="223">
        <f t="shared" si="45"/>
        <v>0</v>
      </c>
      <c r="E145" s="223">
        <f>J145+O145</f>
        <v>6.225</v>
      </c>
      <c r="F145" s="224">
        <f t="shared" si="39"/>
        <v>6.225</v>
      </c>
      <c r="G145" s="151" t="e">
        <f t="shared" si="40"/>
        <v>#DIV/0!</v>
      </c>
      <c r="H145" s="208"/>
      <c r="I145" s="208"/>
      <c r="J145" s="208">
        <v>6.225</v>
      </c>
      <c r="K145" s="203">
        <f t="shared" si="41"/>
        <v>6.225</v>
      </c>
      <c r="L145" s="151" t="e">
        <f t="shared" si="42"/>
        <v>#DIV/0!</v>
      </c>
      <c r="M145" s="208"/>
      <c r="N145" s="208"/>
      <c r="O145" s="208"/>
      <c r="P145" s="203">
        <f t="shared" si="43"/>
        <v>0</v>
      </c>
      <c r="Q145" s="151" t="e">
        <f t="shared" si="44"/>
        <v>#DIV/0!</v>
      </c>
    </row>
    <row r="146" spans="1:17" s="47" customFormat="1" ht="22.5" customHeight="1" hidden="1">
      <c r="A146" s="67" t="s">
        <v>338</v>
      </c>
      <c r="B146" s="56">
        <v>11441440</v>
      </c>
      <c r="C146" s="223">
        <f t="shared" si="45"/>
        <v>0</v>
      </c>
      <c r="D146" s="223">
        <f t="shared" si="45"/>
        <v>0</v>
      </c>
      <c r="E146" s="223">
        <f>J146+O146</f>
        <v>5478.418</v>
      </c>
      <c r="F146" s="224">
        <f t="shared" si="39"/>
        <v>5478.418</v>
      </c>
      <c r="G146" s="151" t="e">
        <f t="shared" si="40"/>
        <v>#DIV/0!</v>
      </c>
      <c r="H146" s="208"/>
      <c r="I146" s="208"/>
      <c r="J146" s="208">
        <v>5478.418</v>
      </c>
      <c r="K146" s="203">
        <f t="shared" si="41"/>
        <v>5478.418</v>
      </c>
      <c r="L146" s="151" t="e">
        <f t="shared" si="42"/>
        <v>#DIV/0!</v>
      </c>
      <c r="M146" s="208"/>
      <c r="N146" s="208"/>
      <c r="O146" s="208"/>
      <c r="P146" s="203">
        <f t="shared" si="43"/>
        <v>0</v>
      </c>
      <c r="Q146" s="151" t="e">
        <f t="shared" si="44"/>
        <v>#DIV/0!</v>
      </c>
    </row>
    <row r="147" spans="1:17" s="48" customFormat="1" ht="22.5" customHeight="1">
      <c r="A147" s="66" t="s">
        <v>279</v>
      </c>
      <c r="B147" s="65">
        <v>11442</v>
      </c>
      <c r="C147" s="228">
        <f t="shared" si="45"/>
        <v>790150</v>
      </c>
      <c r="D147" s="228">
        <f t="shared" si="45"/>
        <v>911650</v>
      </c>
      <c r="E147" s="228">
        <f>E148+E153+E159+E166</f>
        <v>964376.0029999998</v>
      </c>
      <c r="F147" s="226">
        <f t="shared" si="39"/>
        <v>52726.00299999979</v>
      </c>
      <c r="G147" s="150">
        <f t="shared" si="40"/>
        <v>105.7835795535567</v>
      </c>
      <c r="H147" s="209">
        <v>682120</v>
      </c>
      <c r="I147" s="209">
        <v>773269.6</v>
      </c>
      <c r="J147" s="209">
        <f>J148+J153+J159+J166</f>
        <v>816783.777</v>
      </c>
      <c r="K147" s="205">
        <f t="shared" si="41"/>
        <v>43514.177000000025</v>
      </c>
      <c r="L147" s="150">
        <f t="shared" si="42"/>
        <v>105.62729699964927</v>
      </c>
      <c r="M147" s="209">
        <v>108030</v>
      </c>
      <c r="N147" s="209">
        <v>138380.4</v>
      </c>
      <c r="O147" s="209">
        <f>O148+O153+O159+O166</f>
        <v>147592.226</v>
      </c>
      <c r="P147" s="205">
        <f t="shared" si="43"/>
        <v>9211.826000000001</v>
      </c>
      <c r="Q147" s="150">
        <f t="shared" si="44"/>
        <v>106.65688637986304</v>
      </c>
    </row>
    <row r="148" spans="1:17" s="48" customFormat="1" ht="22.5" customHeight="1" hidden="1">
      <c r="A148" s="66" t="s">
        <v>280</v>
      </c>
      <c r="B148" s="65">
        <v>114421</v>
      </c>
      <c r="C148" s="228">
        <f>C149+C150+C151+C152</f>
        <v>0</v>
      </c>
      <c r="D148" s="228">
        <f>D149+D150+D151+D152</f>
        <v>0</v>
      </c>
      <c r="E148" s="228">
        <f>J148+O148</f>
        <v>119262.69499999999</v>
      </c>
      <c r="F148" s="226">
        <f t="shared" si="39"/>
        <v>119262.69499999999</v>
      </c>
      <c r="G148" s="150" t="e">
        <f t="shared" si="40"/>
        <v>#DIV/0!</v>
      </c>
      <c r="H148" s="209">
        <f>H149+H150+H151+H152</f>
        <v>0</v>
      </c>
      <c r="I148" s="209">
        <f>I149+I150+I151+I152</f>
        <v>0</v>
      </c>
      <c r="J148" s="209">
        <f>J149+J150+J151+J152</f>
        <v>102879.866</v>
      </c>
      <c r="K148" s="205">
        <f t="shared" si="41"/>
        <v>102879.866</v>
      </c>
      <c r="L148" s="150" t="e">
        <f t="shared" si="42"/>
        <v>#DIV/0!</v>
      </c>
      <c r="M148" s="209">
        <f>M149+M150+M151+M152</f>
        <v>0</v>
      </c>
      <c r="N148" s="209">
        <f>N149+N150+N151+N152</f>
        <v>0</v>
      </c>
      <c r="O148" s="209">
        <f>O149+O150+O151+O152</f>
        <v>16382.829</v>
      </c>
      <c r="P148" s="205">
        <f t="shared" si="43"/>
        <v>16382.829</v>
      </c>
      <c r="Q148" s="150" t="e">
        <f t="shared" si="44"/>
        <v>#DIV/0!</v>
      </c>
    </row>
    <row r="149" spans="1:17" s="47" customFormat="1" ht="22.5" customHeight="1" hidden="1">
      <c r="A149" s="67" t="s">
        <v>262</v>
      </c>
      <c r="B149" s="56">
        <v>11442110</v>
      </c>
      <c r="C149" s="223">
        <f aca="true" t="shared" si="46" ref="C149:D152">H149+M149</f>
        <v>0</v>
      </c>
      <c r="D149" s="223">
        <f t="shared" si="46"/>
        <v>0</v>
      </c>
      <c r="E149" s="223">
        <f>J149+O149</f>
        <v>86497.037</v>
      </c>
      <c r="F149" s="224">
        <f t="shared" si="39"/>
        <v>86497.037</v>
      </c>
      <c r="G149" s="151" t="e">
        <f t="shared" si="40"/>
        <v>#DIV/0!</v>
      </c>
      <c r="H149" s="208"/>
      <c r="I149" s="208"/>
      <c r="J149" s="208">
        <v>86497.037</v>
      </c>
      <c r="K149" s="203">
        <f t="shared" si="41"/>
        <v>86497.037</v>
      </c>
      <c r="L149" s="151" t="e">
        <f t="shared" si="42"/>
        <v>#DIV/0!</v>
      </c>
      <c r="M149" s="208"/>
      <c r="N149" s="208"/>
      <c r="O149" s="208"/>
      <c r="P149" s="203">
        <f t="shared" si="43"/>
        <v>0</v>
      </c>
      <c r="Q149" s="151" t="e">
        <f t="shared" si="44"/>
        <v>#DIV/0!</v>
      </c>
    </row>
    <row r="150" spans="1:17" s="47" customFormat="1" ht="22.5" customHeight="1" hidden="1">
      <c r="A150" s="67" t="s">
        <v>263</v>
      </c>
      <c r="B150" s="56">
        <v>11442120</v>
      </c>
      <c r="C150" s="223">
        <f t="shared" si="46"/>
        <v>0</v>
      </c>
      <c r="D150" s="223">
        <f t="shared" si="46"/>
        <v>0</v>
      </c>
      <c r="E150" s="223">
        <f>J150+O150</f>
        <v>0</v>
      </c>
      <c r="F150" s="224">
        <f t="shared" si="39"/>
        <v>0</v>
      </c>
      <c r="G150" s="151" t="e">
        <f t="shared" si="40"/>
        <v>#DIV/0!</v>
      </c>
      <c r="H150" s="208"/>
      <c r="I150" s="208"/>
      <c r="J150" s="208"/>
      <c r="K150" s="203">
        <f t="shared" si="41"/>
        <v>0</v>
      </c>
      <c r="L150" s="151" t="e">
        <f t="shared" si="42"/>
        <v>#DIV/0!</v>
      </c>
      <c r="M150" s="208"/>
      <c r="N150" s="208"/>
      <c r="O150" s="208"/>
      <c r="P150" s="203">
        <f t="shared" si="43"/>
        <v>0</v>
      </c>
      <c r="Q150" s="151" t="e">
        <f t="shared" si="44"/>
        <v>#DIV/0!</v>
      </c>
    </row>
    <row r="151" spans="1:17" s="47" customFormat="1" ht="22.5" customHeight="1" hidden="1">
      <c r="A151" s="67" t="s">
        <v>264</v>
      </c>
      <c r="B151" s="56">
        <v>11442130</v>
      </c>
      <c r="C151" s="223">
        <f t="shared" si="46"/>
        <v>0</v>
      </c>
      <c r="D151" s="223">
        <f t="shared" si="46"/>
        <v>0</v>
      </c>
      <c r="E151" s="223">
        <f>J151+O151</f>
        <v>31272.782</v>
      </c>
      <c r="F151" s="224">
        <f t="shared" si="39"/>
        <v>31272.782</v>
      </c>
      <c r="G151" s="151" t="e">
        <f t="shared" si="40"/>
        <v>#DIV/0!</v>
      </c>
      <c r="H151" s="208"/>
      <c r="I151" s="208"/>
      <c r="J151" s="208">
        <v>15636.391</v>
      </c>
      <c r="K151" s="203">
        <f t="shared" si="41"/>
        <v>15636.391</v>
      </c>
      <c r="L151" s="151" t="e">
        <f t="shared" si="42"/>
        <v>#DIV/0!</v>
      </c>
      <c r="M151" s="208"/>
      <c r="N151" s="208"/>
      <c r="O151" s="208">
        <v>15636.391</v>
      </c>
      <c r="P151" s="203">
        <f t="shared" si="43"/>
        <v>15636.391</v>
      </c>
      <c r="Q151" s="151" t="e">
        <f t="shared" si="44"/>
        <v>#DIV/0!</v>
      </c>
    </row>
    <row r="152" spans="1:17" s="47" customFormat="1" ht="22.5" customHeight="1" hidden="1">
      <c r="A152" s="67" t="s">
        <v>265</v>
      </c>
      <c r="B152" s="56">
        <v>11442190</v>
      </c>
      <c r="C152" s="223">
        <f t="shared" si="46"/>
        <v>0</v>
      </c>
      <c r="D152" s="223">
        <f t="shared" si="46"/>
        <v>0</v>
      </c>
      <c r="E152" s="223">
        <f>J152+O152</f>
        <v>1492.876</v>
      </c>
      <c r="F152" s="224">
        <f t="shared" si="39"/>
        <v>1492.876</v>
      </c>
      <c r="G152" s="151" t="e">
        <f t="shared" si="40"/>
        <v>#DIV/0!</v>
      </c>
      <c r="H152" s="208"/>
      <c r="I152" s="208"/>
      <c r="J152" s="208">
        <v>746.438</v>
      </c>
      <c r="K152" s="203">
        <f t="shared" si="41"/>
        <v>746.438</v>
      </c>
      <c r="L152" s="151" t="e">
        <f t="shared" si="42"/>
        <v>#DIV/0!</v>
      </c>
      <c r="M152" s="208"/>
      <c r="N152" s="208"/>
      <c r="O152" s="208">
        <v>746.438</v>
      </c>
      <c r="P152" s="203">
        <f t="shared" si="43"/>
        <v>746.438</v>
      </c>
      <c r="Q152" s="151" t="e">
        <f t="shared" si="44"/>
        <v>#DIV/0!</v>
      </c>
    </row>
    <row r="153" spans="1:17" s="48" customFormat="1" ht="22.5" customHeight="1" hidden="1">
      <c r="A153" s="66" t="s">
        <v>266</v>
      </c>
      <c r="B153" s="65">
        <v>114422</v>
      </c>
      <c r="C153" s="228">
        <f>C154+C155+C156+C157+C158</f>
        <v>0</v>
      </c>
      <c r="D153" s="228">
        <f>D154+D155+D156+D157+D158</f>
        <v>0</v>
      </c>
      <c r="E153" s="228">
        <f aca="true" t="shared" si="47" ref="E153:E158">J153+O153</f>
        <v>672775.9699999999</v>
      </c>
      <c r="F153" s="226">
        <f t="shared" si="39"/>
        <v>672775.9699999999</v>
      </c>
      <c r="G153" s="150" t="e">
        <f t="shared" si="40"/>
        <v>#DIV/0!</v>
      </c>
      <c r="H153" s="209">
        <f>H154+H155+H156+H157+H158</f>
        <v>0</v>
      </c>
      <c r="I153" s="209">
        <f>I154+I155+I156+I157+I158</f>
        <v>0</v>
      </c>
      <c r="J153" s="209">
        <f>J154+J155+J156+J157+J158</f>
        <v>627735.2429999999</v>
      </c>
      <c r="K153" s="205">
        <f t="shared" si="41"/>
        <v>627735.2429999999</v>
      </c>
      <c r="L153" s="150" t="e">
        <f t="shared" si="42"/>
        <v>#DIV/0!</v>
      </c>
      <c r="M153" s="209">
        <f>M154+M155+M156+M157+M158</f>
        <v>0</v>
      </c>
      <c r="N153" s="209">
        <f>N154+N155+N156+N157+N158</f>
        <v>0</v>
      </c>
      <c r="O153" s="209">
        <f>O154+O155+O156+O157+O158</f>
        <v>45040.727</v>
      </c>
      <c r="P153" s="205">
        <f t="shared" si="43"/>
        <v>45040.727</v>
      </c>
      <c r="Q153" s="150" t="e">
        <f t="shared" si="44"/>
        <v>#DIV/0!</v>
      </c>
    </row>
    <row r="154" spans="1:17" s="47" customFormat="1" ht="22.5" customHeight="1" hidden="1">
      <c r="A154" s="67" t="s">
        <v>267</v>
      </c>
      <c r="B154" s="56">
        <v>11442210</v>
      </c>
      <c r="C154" s="223">
        <f aca="true" t="shared" si="48" ref="C154:D158">H154+M154</f>
        <v>0</v>
      </c>
      <c r="D154" s="223">
        <f t="shared" si="48"/>
        <v>0</v>
      </c>
      <c r="E154" s="223">
        <f t="shared" si="47"/>
        <v>582694.516</v>
      </c>
      <c r="F154" s="224">
        <f t="shared" si="39"/>
        <v>582694.516</v>
      </c>
      <c r="G154" s="151" t="e">
        <f t="shared" si="40"/>
        <v>#DIV/0!</v>
      </c>
      <c r="H154" s="208"/>
      <c r="I154" s="208"/>
      <c r="J154" s="208">
        <v>582694.516</v>
      </c>
      <c r="K154" s="203">
        <f t="shared" si="41"/>
        <v>582694.516</v>
      </c>
      <c r="L154" s="151" t="e">
        <f t="shared" si="42"/>
        <v>#DIV/0!</v>
      </c>
      <c r="M154" s="208"/>
      <c r="N154" s="208"/>
      <c r="O154" s="208"/>
      <c r="P154" s="203">
        <f t="shared" si="43"/>
        <v>0</v>
      </c>
      <c r="Q154" s="151" t="e">
        <f t="shared" si="44"/>
        <v>#DIV/0!</v>
      </c>
    </row>
    <row r="155" spans="1:17" s="47" customFormat="1" ht="22.5" customHeight="1" hidden="1">
      <c r="A155" s="67" t="s">
        <v>268</v>
      </c>
      <c r="B155" s="56">
        <v>11442220</v>
      </c>
      <c r="C155" s="223">
        <f t="shared" si="48"/>
        <v>0</v>
      </c>
      <c r="D155" s="223">
        <f t="shared" si="48"/>
        <v>0</v>
      </c>
      <c r="E155" s="223">
        <f t="shared" si="47"/>
        <v>2936.832</v>
      </c>
      <c r="F155" s="224">
        <f t="shared" si="39"/>
        <v>2936.832</v>
      </c>
      <c r="G155" s="151" t="e">
        <f t="shared" si="40"/>
        <v>#DIV/0!</v>
      </c>
      <c r="H155" s="208"/>
      <c r="I155" s="208"/>
      <c r="J155" s="208">
        <v>1468.416</v>
      </c>
      <c r="K155" s="203">
        <f t="shared" si="41"/>
        <v>1468.416</v>
      </c>
      <c r="L155" s="151" t="e">
        <f t="shared" si="42"/>
        <v>#DIV/0!</v>
      </c>
      <c r="M155" s="208"/>
      <c r="N155" s="208"/>
      <c r="O155" s="208">
        <v>1468.416</v>
      </c>
      <c r="P155" s="203">
        <f t="shared" si="43"/>
        <v>1468.416</v>
      </c>
      <c r="Q155" s="151" t="e">
        <f t="shared" si="44"/>
        <v>#DIV/0!</v>
      </c>
    </row>
    <row r="156" spans="1:17" s="47" customFormat="1" ht="22.5" customHeight="1" hidden="1">
      <c r="A156" s="67" t="s">
        <v>269</v>
      </c>
      <c r="B156" s="56">
        <v>11442230</v>
      </c>
      <c r="C156" s="223">
        <f t="shared" si="48"/>
        <v>0</v>
      </c>
      <c r="D156" s="223">
        <f t="shared" si="48"/>
        <v>0</v>
      </c>
      <c r="E156" s="223">
        <f t="shared" si="47"/>
        <v>329.71</v>
      </c>
      <c r="F156" s="224">
        <f t="shared" si="39"/>
        <v>329.71</v>
      </c>
      <c r="G156" s="151" t="e">
        <f t="shared" si="40"/>
        <v>#DIV/0!</v>
      </c>
      <c r="H156" s="208"/>
      <c r="I156" s="208"/>
      <c r="J156" s="208">
        <v>164.855</v>
      </c>
      <c r="K156" s="203">
        <f t="shared" si="41"/>
        <v>164.855</v>
      </c>
      <c r="L156" s="151" t="e">
        <f t="shared" si="42"/>
        <v>#DIV/0!</v>
      </c>
      <c r="M156" s="208"/>
      <c r="N156" s="208"/>
      <c r="O156" s="208">
        <v>164.855</v>
      </c>
      <c r="P156" s="203">
        <f t="shared" si="43"/>
        <v>164.855</v>
      </c>
      <c r="Q156" s="151" t="e">
        <f t="shared" si="44"/>
        <v>#DIV/0!</v>
      </c>
    </row>
    <row r="157" spans="1:17" s="47" customFormat="1" ht="22.5" customHeight="1" hidden="1">
      <c r="A157" s="67" t="s">
        <v>270</v>
      </c>
      <c r="B157" s="56">
        <v>11442240</v>
      </c>
      <c r="C157" s="223">
        <f t="shared" si="48"/>
        <v>0</v>
      </c>
      <c r="D157" s="223">
        <f t="shared" si="48"/>
        <v>0</v>
      </c>
      <c r="E157" s="223">
        <f t="shared" si="47"/>
        <v>0</v>
      </c>
      <c r="F157" s="224">
        <f t="shared" si="39"/>
        <v>0</v>
      </c>
      <c r="G157" s="151" t="e">
        <f t="shared" si="40"/>
        <v>#DIV/0!</v>
      </c>
      <c r="H157" s="208"/>
      <c r="I157" s="208"/>
      <c r="J157" s="208"/>
      <c r="K157" s="203">
        <f t="shared" si="41"/>
        <v>0</v>
      </c>
      <c r="L157" s="151" t="e">
        <f t="shared" si="42"/>
        <v>#DIV/0!</v>
      </c>
      <c r="M157" s="208"/>
      <c r="N157" s="208"/>
      <c r="O157" s="208"/>
      <c r="P157" s="203">
        <f t="shared" si="43"/>
        <v>0</v>
      </c>
      <c r="Q157" s="151" t="e">
        <f t="shared" si="44"/>
        <v>#DIV/0!</v>
      </c>
    </row>
    <row r="158" spans="1:17" s="47" customFormat="1" ht="22.5" customHeight="1" hidden="1">
      <c r="A158" s="67" t="s">
        <v>271</v>
      </c>
      <c r="B158" s="56">
        <v>11442290</v>
      </c>
      <c r="C158" s="223">
        <f t="shared" si="48"/>
        <v>0</v>
      </c>
      <c r="D158" s="223">
        <f t="shared" si="48"/>
        <v>0</v>
      </c>
      <c r="E158" s="223">
        <f t="shared" si="47"/>
        <v>86814.912</v>
      </c>
      <c r="F158" s="224">
        <f t="shared" si="39"/>
        <v>86814.912</v>
      </c>
      <c r="G158" s="151" t="e">
        <f t="shared" si="40"/>
        <v>#DIV/0!</v>
      </c>
      <c r="H158" s="208"/>
      <c r="I158" s="208"/>
      <c r="J158" s="208">
        <v>43407.456</v>
      </c>
      <c r="K158" s="203">
        <f t="shared" si="41"/>
        <v>43407.456</v>
      </c>
      <c r="L158" s="151" t="e">
        <f t="shared" si="42"/>
        <v>#DIV/0!</v>
      </c>
      <c r="M158" s="208"/>
      <c r="N158" s="208"/>
      <c r="O158" s="208">
        <v>43407.456</v>
      </c>
      <c r="P158" s="203">
        <f t="shared" si="43"/>
        <v>43407.456</v>
      </c>
      <c r="Q158" s="151" t="e">
        <f t="shared" si="44"/>
        <v>#DIV/0!</v>
      </c>
    </row>
    <row r="159" spans="1:17" s="48" customFormat="1" ht="22.5" customHeight="1" hidden="1">
      <c r="A159" s="66" t="s">
        <v>272</v>
      </c>
      <c r="B159" s="65">
        <v>114423</v>
      </c>
      <c r="C159" s="228">
        <f>C160+C161+C162+C163+C164+C165</f>
        <v>0</v>
      </c>
      <c r="D159" s="228">
        <f>D160+D161+D162+D163+D164+D165</f>
        <v>0</v>
      </c>
      <c r="E159" s="228">
        <f aca="true" t="shared" si="49" ref="E159:E165">J159+O159</f>
        <v>114529.949</v>
      </c>
      <c r="F159" s="226">
        <f t="shared" si="39"/>
        <v>114529.949</v>
      </c>
      <c r="G159" s="150" t="e">
        <f t="shared" si="40"/>
        <v>#DIV/0!</v>
      </c>
      <c r="H159" s="209">
        <f>H160+H161+H162+H163+H164+H165</f>
        <v>0</v>
      </c>
      <c r="I159" s="209">
        <f>I160+I161+I162+I163+I164+I165</f>
        <v>0</v>
      </c>
      <c r="J159" s="209">
        <f>J160+J161+J162+J163+J164+J165</f>
        <v>57264.974</v>
      </c>
      <c r="K159" s="205">
        <f t="shared" si="41"/>
        <v>57264.974</v>
      </c>
      <c r="L159" s="150" t="e">
        <f t="shared" si="42"/>
        <v>#DIV/0!</v>
      </c>
      <c r="M159" s="209">
        <f>M160+M161+M162+M163+M164+M165</f>
        <v>0</v>
      </c>
      <c r="N159" s="209">
        <f>N160+N161+N162+N163+N164+N165</f>
        <v>0</v>
      </c>
      <c r="O159" s="209">
        <f>O160+O161+O162+O163+O164+O165</f>
        <v>57264.975</v>
      </c>
      <c r="P159" s="205">
        <f t="shared" si="43"/>
        <v>57264.975</v>
      </c>
      <c r="Q159" s="150" t="e">
        <f t="shared" si="44"/>
        <v>#DIV/0!</v>
      </c>
    </row>
    <row r="160" spans="1:17" s="47" customFormat="1" ht="22.5" customHeight="1" hidden="1">
      <c r="A160" s="67" t="s">
        <v>273</v>
      </c>
      <c r="B160" s="56">
        <v>11442310</v>
      </c>
      <c r="C160" s="223">
        <f aca="true" t="shared" si="50" ref="C160:D165">H160+M160</f>
        <v>0</v>
      </c>
      <c r="D160" s="223">
        <f t="shared" si="50"/>
        <v>0</v>
      </c>
      <c r="E160" s="223">
        <f t="shared" si="49"/>
        <v>6357.966</v>
      </c>
      <c r="F160" s="224">
        <f t="shared" si="39"/>
        <v>6357.966</v>
      </c>
      <c r="G160" s="151" t="e">
        <f t="shared" si="40"/>
        <v>#DIV/0!</v>
      </c>
      <c r="H160" s="208"/>
      <c r="I160" s="208"/>
      <c r="J160" s="208">
        <v>3178.983</v>
      </c>
      <c r="K160" s="203">
        <f t="shared" si="41"/>
        <v>3178.983</v>
      </c>
      <c r="L160" s="151" t="e">
        <f t="shared" si="42"/>
        <v>#DIV/0!</v>
      </c>
      <c r="M160" s="208"/>
      <c r="N160" s="208"/>
      <c r="O160" s="208">
        <v>3178.983</v>
      </c>
      <c r="P160" s="203">
        <f t="shared" si="43"/>
        <v>3178.983</v>
      </c>
      <c r="Q160" s="151" t="e">
        <f t="shared" si="44"/>
        <v>#DIV/0!</v>
      </c>
    </row>
    <row r="161" spans="1:17" s="47" customFormat="1" ht="22.5" customHeight="1" hidden="1">
      <c r="A161" s="67" t="s">
        <v>339</v>
      </c>
      <c r="B161" s="56">
        <v>11442320</v>
      </c>
      <c r="C161" s="223">
        <f t="shared" si="50"/>
        <v>0</v>
      </c>
      <c r="D161" s="223">
        <f t="shared" si="50"/>
        <v>0</v>
      </c>
      <c r="E161" s="223">
        <f t="shared" si="49"/>
        <v>10661.822</v>
      </c>
      <c r="F161" s="224">
        <f t="shared" si="39"/>
        <v>10661.822</v>
      </c>
      <c r="G161" s="151" t="e">
        <f t="shared" si="40"/>
        <v>#DIV/0!</v>
      </c>
      <c r="H161" s="208"/>
      <c r="I161" s="208"/>
      <c r="J161" s="208">
        <v>5330.911</v>
      </c>
      <c r="K161" s="203">
        <f t="shared" si="41"/>
        <v>5330.911</v>
      </c>
      <c r="L161" s="151" t="e">
        <f t="shared" si="42"/>
        <v>#DIV/0!</v>
      </c>
      <c r="M161" s="208"/>
      <c r="N161" s="208"/>
      <c r="O161" s="208">
        <v>5330.911</v>
      </c>
      <c r="P161" s="203">
        <f t="shared" si="43"/>
        <v>5330.911</v>
      </c>
      <c r="Q161" s="151" t="e">
        <f t="shared" si="44"/>
        <v>#DIV/0!</v>
      </c>
    </row>
    <row r="162" spans="1:17" s="47" customFormat="1" ht="22.5" customHeight="1" hidden="1">
      <c r="A162" s="67" t="s">
        <v>334</v>
      </c>
      <c r="B162" s="56">
        <v>11442330</v>
      </c>
      <c r="C162" s="223">
        <f t="shared" si="50"/>
        <v>0</v>
      </c>
      <c r="D162" s="223">
        <f t="shared" si="50"/>
        <v>0</v>
      </c>
      <c r="E162" s="223">
        <f t="shared" si="49"/>
        <v>1518.988</v>
      </c>
      <c r="F162" s="224">
        <f t="shared" si="39"/>
        <v>1518.988</v>
      </c>
      <c r="G162" s="151" t="e">
        <f t="shared" si="40"/>
        <v>#DIV/0!</v>
      </c>
      <c r="H162" s="208"/>
      <c r="I162" s="208"/>
      <c r="J162" s="208">
        <v>759.494</v>
      </c>
      <c r="K162" s="203">
        <f t="shared" si="41"/>
        <v>759.494</v>
      </c>
      <c r="L162" s="151" t="e">
        <f t="shared" si="42"/>
        <v>#DIV/0!</v>
      </c>
      <c r="M162" s="208"/>
      <c r="N162" s="208"/>
      <c r="O162" s="208">
        <v>759.494</v>
      </c>
      <c r="P162" s="203">
        <f t="shared" si="43"/>
        <v>759.494</v>
      </c>
      <c r="Q162" s="151" t="e">
        <f t="shared" si="44"/>
        <v>#DIV/0!</v>
      </c>
    </row>
    <row r="163" spans="1:17" s="47" customFormat="1" ht="22.5" customHeight="1" hidden="1">
      <c r="A163" s="67" t="s">
        <v>274</v>
      </c>
      <c r="B163" s="56">
        <v>11442340</v>
      </c>
      <c r="C163" s="223">
        <f t="shared" si="50"/>
        <v>0</v>
      </c>
      <c r="D163" s="223">
        <f t="shared" si="50"/>
        <v>0</v>
      </c>
      <c r="E163" s="223">
        <f t="shared" si="49"/>
        <v>8871.994</v>
      </c>
      <c r="F163" s="224">
        <f t="shared" si="39"/>
        <v>8871.994</v>
      </c>
      <c r="G163" s="151" t="e">
        <f t="shared" si="40"/>
        <v>#DIV/0!</v>
      </c>
      <c r="H163" s="208"/>
      <c r="I163" s="208"/>
      <c r="J163" s="208">
        <v>4435.997</v>
      </c>
      <c r="K163" s="203">
        <f t="shared" si="41"/>
        <v>4435.997</v>
      </c>
      <c r="L163" s="151" t="e">
        <f t="shared" si="42"/>
        <v>#DIV/0!</v>
      </c>
      <c r="M163" s="208"/>
      <c r="N163" s="208"/>
      <c r="O163" s="208">
        <v>4435.997</v>
      </c>
      <c r="P163" s="203">
        <f t="shared" si="43"/>
        <v>4435.997</v>
      </c>
      <c r="Q163" s="151" t="e">
        <f t="shared" si="44"/>
        <v>#DIV/0!</v>
      </c>
    </row>
    <row r="164" spans="1:17" s="47" customFormat="1" ht="22.5" customHeight="1" hidden="1">
      <c r="A164" s="67" t="s">
        <v>275</v>
      </c>
      <c r="B164" s="56">
        <v>11442350</v>
      </c>
      <c r="C164" s="223">
        <f t="shared" si="50"/>
        <v>0</v>
      </c>
      <c r="D164" s="223">
        <f t="shared" si="50"/>
        <v>0</v>
      </c>
      <c r="E164" s="223">
        <f t="shared" si="49"/>
        <v>0</v>
      </c>
      <c r="F164" s="224">
        <f t="shared" si="39"/>
        <v>0</v>
      </c>
      <c r="G164" s="151" t="e">
        <f t="shared" si="40"/>
        <v>#DIV/0!</v>
      </c>
      <c r="H164" s="208"/>
      <c r="I164" s="208"/>
      <c r="J164" s="208"/>
      <c r="K164" s="203">
        <f t="shared" si="41"/>
        <v>0</v>
      </c>
      <c r="L164" s="151" t="e">
        <f t="shared" si="42"/>
        <v>#DIV/0!</v>
      </c>
      <c r="M164" s="208"/>
      <c r="N164" s="208"/>
      <c r="O164" s="208"/>
      <c r="P164" s="203">
        <f t="shared" si="43"/>
        <v>0</v>
      </c>
      <c r="Q164" s="151" t="e">
        <f t="shared" si="44"/>
        <v>#DIV/0!</v>
      </c>
    </row>
    <row r="165" spans="1:17" s="47" customFormat="1" ht="22.5" customHeight="1" hidden="1">
      <c r="A165" s="67" t="s">
        <v>276</v>
      </c>
      <c r="B165" s="56">
        <v>11442390</v>
      </c>
      <c r="C165" s="223">
        <f t="shared" si="50"/>
        <v>0</v>
      </c>
      <c r="D165" s="223">
        <f t="shared" si="50"/>
        <v>0</v>
      </c>
      <c r="E165" s="223">
        <f t="shared" si="49"/>
        <v>87119.179</v>
      </c>
      <c r="F165" s="224">
        <f t="shared" si="39"/>
        <v>87119.179</v>
      </c>
      <c r="G165" s="151" t="e">
        <f t="shared" si="40"/>
        <v>#DIV/0!</v>
      </c>
      <c r="H165" s="208"/>
      <c r="I165" s="208"/>
      <c r="J165" s="208">
        <v>43559.589</v>
      </c>
      <c r="K165" s="203">
        <f t="shared" si="41"/>
        <v>43559.589</v>
      </c>
      <c r="L165" s="151" t="e">
        <f t="shared" si="42"/>
        <v>#DIV/0!</v>
      </c>
      <c r="M165" s="208"/>
      <c r="N165" s="208"/>
      <c r="O165" s="208">
        <v>43559.59</v>
      </c>
      <c r="P165" s="203">
        <f t="shared" si="43"/>
        <v>43559.59</v>
      </c>
      <c r="Q165" s="151" t="e">
        <f t="shared" si="44"/>
        <v>#DIV/0!</v>
      </c>
    </row>
    <row r="166" spans="1:17" s="48" customFormat="1" ht="22.5" customHeight="1" hidden="1">
      <c r="A166" s="66" t="s">
        <v>277</v>
      </c>
      <c r="B166" s="65">
        <v>114424</v>
      </c>
      <c r="C166" s="228">
        <f>C167+C168+C169+C170+C171</f>
        <v>0</v>
      </c>
      <c r="D166" s="228">
        <f>D167+D168+D169+D170+D171</f>
        <v>0</v>
      </c>
      <c r="E166" s="228">
        <f aca="true" t="shared" si="51" ref="E166:E171">J166+O166</f>
        <v>57807.389</v>
      </c>
      <c r="F166" s="226">
        <f t="shared" si="39"/>
        <v>57807.389</v>
      </c>
      <c r="G166" s="150" t="e">
        <f t="shared" si="40"/>
        <v>#DIV/0!</v>
      </c>
      <c r="H166" s="209">
        <f>H167+H168+H169+H170+H171</f>
        <v>0</v>
      </c>
      <c r="I166" s="209">
        <f>I167+I168+I169+I170+I171</f>
        <v>0</v>
      </c>
      <c r="J166" s="209">
        <f>J167+J168+J169+J170+J171</f>
        <v>28903.694000000003</v>
      </c>
      <c r="K166" s="205">
        <f t="shared" si="41"/>
        <v>28903.694000000003</v>
      </c>
      <c r="L166" s="150" t="e">
        <f t="shared" si="42"/>
        <v>#DIV/0!</v>
      </c>
      <c r="M166" s="209">
        <f>M167+M168+M169+M170+M171</f>
        <v>0</v>
      </c>
      <c r="N166" s="209">
        <f>N167+N168+N169+N170+N171</f>
        <v>0</v>
      </c>
      <c r="O166" s="209">
        <f>O167+O168+O169+O170+O171</f>
        <v>28903.695</v>
      </c>
      <c r="P166" s="205">
        <f t="shared" si="43"/>
        <v>28903.695</v>
      </c>
      <c r="Q166" s="150" t="e">
        <f t="shared" si="44"/>
        <v>#DIV/0!</v>
      </c>
    </row>
    <row r="167" spans="1:17" s="47" customFormat="1" ht="22.5" customHeight="1" hidden="1">
      <c r="A167" s="67" t="s">
        <v>335</v>
      </c>
      <c r="B167" s="56">
        <v>11442410</v>
      </c>
      <c r="C167" s="223">
        <f aca="true" t="shared" si="52" ref="C167:D171">H167+M167</f>
        <v>0</v>
      </c>
      <c r="D167" s="223">
        <f t="shared" si="52"/>
        <v>0</v>
      </c>
      <c r="E167" s="223">
        <f t="shared" si="51"/>
        <v>10426.982</v>
      </c>
      <c r="F167" s="224">
        <f t="shared" si="39"/>
        <v>10426.982</v>
      </c>
      <c r="G167" s="151" t="e">
        <f t="shared" si="40"/>
        <v>#DIV/0!</v>
      </c>
      <c r="H167" s="208"/>
      <c r="I167" s="208"/>
      <c r="J167" s="208">
        <v>5213.491</v>
      </c>
      <c r="K167" s="203">
        <f t="shared" si="41"/>
        <v>5213.491</v>
      </c>
      <c r="L167" s="151" t="e">
        <f t="shared" si="42"/>
        <v>#DIV/0!</v>
      </c>
      <c r="M167" s="208"/>
      <c r="N167" s="208"/>
      <c r="O167" s="208">
        <v>5213.491</v>
      </c>
      <c r="P167" s="203">
        <f t="shared" si="43"/>
        <v>5213.491</v>
      </c>
      <c r="Q167" s="151" t="e">
        <f t="shared" si="44"/>
        <v>#DIV/0!</v>
      </c>
    </row>
    <row r="168" spans="1:17" s="47" customFormat="1" ht="22.5" customHeight="1" hidden="1">
      <c r="A168" s="67" t="s">
        <v>336</v>
      </c>
      <c r="B168" s="56">
        <v>11442420</v>
      </c>
      <c r="C168" s="223">
        <f t="shared" si="52"/>
        <v>0</v>
      </c>
      <c r="D168" s="223">
        <f t="shared" si="52"/>
        <v>0</v>
      </c>
      <c r="E168" s="223">
        <f t="shared" si="51"/>
        <v>283.752</v>
      </c>
      <c r="F168" s="224">
        <f t="shared" si="39"/>
        <v>283.752</v>
      </c>
      <c r="G168" s="151" t="e">
        <f t="shared" si="40"/>
        <v>#DIV/0!</v>
      </c>
      <c r="H168" s="208"/>
      <c r="I168" s="208"/>
      <c r="J168" s="208">
        <v>141.876</v>
      </c>
      <c r="K168" s="203">
        <f t="shared" si="41"/>
        <v>141.876</v>
      </c>
      <c r="L168" s="151" t="e">
        <f t="shared" si="42"/>
        <v>#DIV/0!</v>
      </c>
      <c r="M168" s="208"/>
      <c r="N168" s="208"/>
      <c r="O168" s="208">
        <v>141.876</v>
      </c>
      <c r="P168" s="203">
        <f t="shared" si="43"/>
        <v>141.876</v>
      </c>
      <c r="Q168" s="151" t="e">
        <f t="shared" si="44"/>
        <v>#DIV/0!</v>
      </c>
    </row>
    <row r="169" spans="1:17" s="47" customFormat="1" ht="22.5" customHeight="1" hidden="1">
      <c r="A169" s="67" t="s">
        <v>337</v>
      </c>
      <c r="B169" s="56">
        <v>11442430</v>
      </c>
      <c r="C169" s="223">
        <f t="shared" si="52"/>
        <v>0</v>
      </c>
      <c r="D169" s="223">
        <f t="shared" si="52"/>
        <v>0</v>
      </c>
      <c r="E169" s="223">
        <f t="shared" si="51"/>
        <v>0</v>
      </c>
      <c r="F169" s="224">
        <f t="shared" si="39"/>
        <v>0</v>
      </c>
      <c r="G169" s="151" t="e">
        <f t="shared" si="40"/>
        <v>#DIV/0!</v>
      </c>
      <c r="H169" s="208"/>
      <c r="I169" s="208"/>
      <c r="J169" s="208"/>
      <c r="K169" s="203">
        <f t="shared" si="41"/>
        <v>0</v>
      </c>
      <c r="L169" s="151" t="e">
        <f t="shared" si="42"/>
        <v>#DIV/0!</v>
      </c>
      <c r="M169" s="208"/>
      <c r="N169" s="208"/>
      <c r="O169" s="208"/>
      <c r="P169" s="203">
        <f t="shared" si="43"/>
        <v>0</v>
      </c>
      <c r="Q169" s="151" t="e">
        <f t="shared" si="44"/>
        <v>#DIV/0!</v>
      </c>
    </row>
    <row r="170" spans="1:17" s="47" customFormat="1" ht="22.5" customHeight="1" hidden="1">
      <c r="A170" s="67" t="s">
        <v>338</v>
      </c>
      <c r="B170" s="56">
        <v>11442440</v>
      </c>
      <c r="C170" s="223">
        <f t="shared" si="52"/>
        <v>0</v>
      </c>
      <c r="D170" s="223">
        <f t="shared" si="52"/>
        <v>0</v>
      </c>
      <c r="E170" s="223">
        <f t="shared" si="51"/>
        <v>41936.109</v>
      </c>
      <c r="F170" s="224">
        <f t="shared" si="39"/>
        <v>41936.109</v>
      </c>
      <c r="G170" s="151" t="e">
        <f t="shared" si="40"/>
        <v>#DIV/0!</v>
      </c>
      <c r="H170" s="208"/>
      <c r="I170" s="208"/>
      <c r="J170" s="208">
        <v>20968.054</v>
      </c>
      <c r="K170" s="203">
        <f t="shared" si="41"/>
        <v>20968.054</v>
      </c>
      <c r="L170" s="151" t="e">
        <f t="shared" si="42"/>
        <v>#DIV/0!</v>
      </c>
      <c r="M170" s="208"/>
      <c r="N170" s="208"/>
      <c r="O170" s="208">
        <v>20968.055</v>
      </c>
      <c r="P170" s="203">
        <f t="shared" si="43"/>
        <v>20968.055</v>
      </c>
      <c r="Q170" s="151" t="e">
        <f t="shared" si="44"/>
        <v>#DIV/0!</v>
      </c>
    </row>
    <row r="171" spans="1:17" s="47" customFormat="1" ht="22.5" customHeight="1" hidden="1">
      <c r="A171" s="67" t="s">
        <v>278</v>
      </c>
      <c r="B171" s="56">
        <v>11442490</v>
      </c>
      <c r="C171" s="223">
        <f t="shared" si="52"/>
        <v>0</v>
      </c>
      <c r="D171" s="223">
        <f t="shared" si="52"/>
        <v>0</v>
      </c>
      <c r="E171" s="223">
        <f t="shared" si="51"/>
        <v>5160.546</v>
      </c>
      <c r="F171" s="224">
        <f t="shared" si="39"/>
        <v>5160.546</v>
      </c>
      <c r="G171" s="151" t="e">
        <f t="shared" si="40"/>
        <v>#DIV/0!</v>
      </c>
      <c r="H171" s="208"/>
      <c r="I171" s="208"/>
      <c r="J171" s="208">
        <v>2580.273</v>
      </c>
      <c r="K171" s="203">
        <f t="shared" si="41"/>
        <v>2580.273</v>
      </c>
      <c r="L171" s="151" t="e">
        <f t="shared" si="42"/>
        <v>#DIV/0!</v>
      </c>
      <c r="M171" s="208"/>
      <c r="N171" s="208"/>
      <c r="O171" s="208">
        <v>2580.273</v>
      </c>
      <c r="P171" s="203">
        <f t="shared" si="43"/>
        <v>2580.273</v>
      </c>
      <c r="Q171" s="151" t="e">
        <f t="shared" si="44"/>
        <v>#DIV/0!</v>
      </c>
    </row>
    <row r="172" spans="1:17" s="44" customFormat="1" ht="22.5" customHeight="1">
      <c r="A172" s="66" t="s">
        <v>569</v>
      </c>
      <c r="B172" s="65">
        <v>115</v>
      </c>
      <c r="C172" s="227">
        <f>C173+C208</f>
        <v>17752489</v>
      </c>
      <c r="D172" s="227">
        <f>D173+D208</f>
        <v>16297489</v>
      </c>
      <c r="E172" s="227">
        <f>E173+E208</f>
        <v>16492908.844</v>
      </c>
      <c r="F172" s="226">
        <f t="shared" si="39"/>
        <v>195419.8440000005</v>
      </c>
      <c r="G172" s="150">
        <f t="shared" si="40"/>
        <v>101.19907946555449</v>
      </c>
      <c r="H172" s="206">
        <f>H173+H208</f>
        <v>17752489</v>
      </c>
      <c r="I172" s="206">
        <f>I173+I208</f>
        <v>16297489</v>
      </c>
      <c r="J172" s="206">
        <f>J173+J208</f>
        <v>16492908.844</v>
      </c>
      <c r="K172" s="205">
        <f t="shared" si="41"/>
        <v>195419.8440000005</v>
      </c>
      <c r="L172" s="150">
        <f t="shared" si="42"/>
        <v>101.19907946555449</v>
      </c>
      <c r="M172" s="344">
        <f>M173+M208</f>
        <v>0</v>
      </c>
      <c r="N172" s="344">
        <f>N173+N208</f>
        <v>0</v>
      </c>
      <c r="O172" s="344">
        <f>O173+O208</f>
        <v>0</v>
      </c>
      <c r="P172" s="341">
        <f t="shared" si="43"/>
        <v>0</v>
      </c>
      <c r="Q172" s="342" t="e">
        <f t="shared" si="44"/>
        <v>#DIV/0!</v>
      </c>
    </row>
    <row r="173" spans="1:17" s="45" customFormat="1" ht="22.5" customHeight="1">
      <c r="A173" s="66" t="s">
        <v>55</v>
      </c>
      <c r="B173" s="65">
        <v>1151</v>
      </c>
      <c r="C173" s="227">
        <f>C174+C181+C184+C187+C189+C194+C200+C206</f>
        <v>665689</v>
      </c>
      <c r="D173" s="227">
        <f>D174+D181+D184+D187+D189+D194+D200+D206</f>
        <v>1028089</v>
      </c>
      <c r="E173" s="227">
        <f>E174+E181+E184+E187+E189+E194+E200+E206</f>
        <v>1372568.703</v>
      </c>
      <c r="F173" s="226">
        <f t="shared" si="39"/>
        <v>344479.703</v>
      </c>
      <c r="G173" s="150">
        <f t="shared" si="40"/>
        <v>133.5067978550495</v>
      </c>
      <c r="H173" s="206">
        <f>H174+H181+H184+H187+H189+H194+H200+H206</f>
        <v>665689</v>
      </c>
      <c r="I173" s="206">
        <f>I174+I181+I184+I187+I189+I194+I200+I206</f>
        <v>1028089</v>
      </c>
      <c r="J173" s="206">
        <f>J174+J181+J184+J187+J189+J194+J200+J206</f>
        <v>1372568.703</v>
      </c>
      <c r="K173" s="205">
        <f t="shared" si="41"/>
        <v>344479.703</v>
      </c>
      <c r="L173" s="150">
        <f t="shared" si="42"/>
        <v>133.5067978550495</v>
      </c>
      <c r="M173" s="344">
        <f>M174+M181+M184+M187+M189+M194+M200+M206</f>
        <v>0</v>
      </c>
      <c r="N173" s="344">
        <f>N174+N181+N184+N187+N189+N194+N200+N206</f>
        <v>0</v>
      </c>
      <c r="O173" s="344">
        <f>O174+O181+O184+O187+O189+O194+O200+O206</f>
        <v>0</v>
      </c>
      <c r="P173" s="341">
        <f t="shared" si="43"/>
        <v>0</v>
      </c>
      <c r="Q173" s="342" t="e">
        <f t="shared" si="44"/>
        <v>#DIV/0!</v>
      </c>
    </row>
    <row r="174" spans="1:17" s="46" customFormat="1" ht="22.5" customHeight="1">
      <c r="A174" s="66" t="s">
        <v>56</v>
      </c>
      <c r="B174" s="65">
        <v>11511</v>
      </c>
      <c r="C174" s="227">
        <f>C175+C176+C177+C178+C179+C180</f>
        <v>144000</v>
      </c>
      <c r="D174" s="227">
        <f>D175+D176+D177+D178+D179+D180</f>
        <v>500000</v>
      </c>
      <c r="E174" s="227">
        <f>E175+E176+E177+E178+E179+E180</f>
        <v>570316.54</v>
      </c>
      <c r="F174" s="226">
        <f t="shared" si="39"/>
        <v>70316.54000000004</v>
      </c>
      <c r="G174" s="150">
        <f t="shared" si="40"/>
        <v>114.06330799999999</v>
      </c>
      <c r="H174" s="206">
        <f>H175+H176+H177+H178+H179+H180</f>
        <v>144000</v>
      </c>
      <c r="I174" s="206">
        <f>I175+I176+I177+I178+I179+I180</f>
        <v>500000</v>
      </c>
      <c r="J174" s="206">
        <f>J175+J176+J177+J178+J179+J180</f>
        <v>570316.54</v>
      </c>
      <c r="K174" s="205">
        <f t="shared" si="41"/>
        <v>70316.54000000004</v>
      </c>
      <c r="L174" s="150">
        <f t="shared" si="42"/>
        <v>114.06330799999999</v>
      </c>
      <c r="M174" s="344">
        <f>M175+M176+M177+M178+M179+M180</f>
        <v>0</v>
      </c>
      <c r="N174" s="344">
        <f>N175+N176+N177+N178+N179+N180</f>
        <v>0</v>
      </c>
      <c r="O174" s="344">
        <f>O175+O176+O177+O178+O179+O180</f>
        <v>0</v>
      </c>
      <c r="P174" s="341">
        <f t="shared" si="43"/>
        <v>0</v>
      </c>
      <c r="Q174" s="342" t="e">
        <f t="shared" si="44"/>
        <v>#DIV/0!</v>
      </c>
    </row>
    <row r="175" spans="1:17" s="47" customFormat="1" ht="22.5" customHeight="1">
      <c r="A175" s="67" t="s">
        <v>473</v>
      </c>
      <c r="B175" s="56">
        <v>11511100</v>
      </c>
      <c r="C175" s="339">
        <f aca="true" t="shared" si="53" ref="C175:D180">H175+M175</f>
        <v>0</v>
      </c>
      <c r="D175" s="339">
        <f t="shared" si="53"/>
        <v>0</v>
      </c>
      <c r="E175" s="223">
        <f aca="true" t="shared" si="54" ref="E175:E180">J175+O175</f>
        <v>6456.787</v>
      </c>
      <c r="F175" s="224">
        <f t="shared" si="39"/>
        <v>6456.787</v>
      </c>
      <c r="G175" s="338" t="e">
        <f t="shared" si="40"/>
        <v>#DIV/0!</v>
      </c>
      <c r="H175" s="208"/>
      <c r="I175" s="208"/>
      <c r="J175" s="208">
        <v>6456.787</v>
      </c>
      <c r="K175" s="203">
        <f t="shared" si="41"/>
        <v>6456.787</v>
      </c>
      <c r="L175" s="338" t="e">
        <f t="shared" si="42"/>
        <v>#DIV/0!</v>
      </c>
      <c r="M175" s="343"/>
      <c r="N175" s="343"/>
      <c r="O175" s="343"/>
      <c r="P175" s="337">
        <f t="shared" si="43"/>
        <v>0</v>
      </c>
      <c r="Q175" s="338" t="e">
        <f t="shared" si="44"/>
        <v>#DIV/0!</v>
      </c>
    </row>
    <row r="176" spans="1:17" s="47" customFormat="1" ht="22.5">
      <c r="A176" s="67" t="s">
        <v>474</v>
      </c>
      <c r="B176" s="56">
        <v>11511200</v>
      </c>
      <c r="C176" s="339">
        <f t="shared" si="53"/>
        <v>0</v>
      </c>
      <c r="D176" s="339">
        <f t="shared" si="53"/>
        <v>0</v>
      </c>
      <c r="E176" s="223">
        <f>J176+O176</f>
        <v>7.019</v>
      </c>
      <c r="F176" s="224">
        <f t="shared" si="39"/>
        <v>7.019</v>
      </c>
      <c r="G176" s="338" t="e">
        <f t="shared" si="40"/>
        <v>#DIV/0!</v>
      </c>
      <c r="H176" s="208"/>
      <c r="I176" s="208"/>
      <c r="J176" s="208">
        <v>7.019</v>
      </c>
      <c r="K176" s="203">
        <f t="shared" si="41"/>
        <v>7.019</v>
      </c>
      <c r="L176" s="338" t="e">
        <f t="shared" si="42"/>
        <v>#DIV/0!</v>
      </c>
      <c r="M176" s="343"/>
      <c r="N176" s="343"/>
      <c r="O176" s="343"/>
      <c r="P176" s="337">
        <f t="shared" si="43"/>
        <v>0</v>
      </c>
      <c r="Q176" s="338" t="e">
        <f t="shared" si="44"/>
        <v>#DIV/0!</v>
      </c>
    </row>
    <row r="177" spans="1:17" s="47" customFormat="1" ht="22.5" hidden="1">
      <c r="A177" s="67" t="s">
        <v>475</v>
      </c>
      <c r="B177" s="56">
        <v>11511300</v>
      </c>
      <c r="C177" s="223">
        <f t="shared" si="53"/>
        <v>0</v>
      </c>
      <c r="D177" s="223">
        <f t="shared" si="53"/>
        <v>0</v>
      </c>
      <c r="E177" s="223">
        <f>J177+O177</f>
        <v>0</v>
      </c>
      <c r="F177" s="224">
        <f t="shared" si="39"/>
        <v>0</v>
      </c>
      <c r="G177" s="151" t="e">
        <f t="shared" si="40"/>
        <v>#DIV/0!</v>
      </c>
      <c r="H177" s="208"/>
      <c r="I177" s="208"/>
      <c r="J177" s="208"/>
      <c r="K177" s="203">
        <f t="shared" si="41"/>
        <v>0</v>
      </c>
      <c r="L177" s="151" t="e">
        <f t="shared" si="42"/>
        <v>#DIV/0!</v>
      </c>
      <c r="M177" s="343"/>
      <c r="N177" s="343"/>
      <c r="O177" s="343"/>
      <c r="P177" s="337">
        <f t="shared" si="43"/>
        <v>0</v>
      </c>
      <c r="Q177" s="338" t="e">
        <f t="shared" si="44"/>
        <v>#DIV/0!</v>
      </c>
    </row>
    <row r="178" spans="1:17" s="47" customFormat="1" ht="22.5" hidden="1">
      <c r="A178" s="67" t="s">
        <v>476</v>
      </c>
      <c r="B178" s="56">
        <v>11511400</v>
      </c>
      <c r="C178" s="223">
        <f t="shared" si="53"/>
        <v>0</v>
      </c>
      <c r="D178" s="223">
        <f t="shared" si="53"/>
        <v>0</v>
      </c>
      <c r="E178" s="223">
        <f>J178+O178</f>
        <v>0</v>
      </c>
      <c r="F178" s="224">
        <f t="shared" si="39"/>
        <v>0</v>
      </c>
      <c r="G178" s="151" t="e">
        <f t="shared" si="40"/>
        <v>#DIV/0!</v>
      </c>
      <c r="H178" s="208"/>
      <c r="I178" s="208"/>
      <c r="J178" s="208"/>
      <c r="K178" s="203">
        <f t="shared" si="41"/>
        <v>0</v>
      </c>
      <c r="L178" s="151" t="e">
        <f t="shared" si="42"/>
        <v>#DIV/0!</v>
      </c>
      <c r="M178" s="343"/>
      <c r="N178" s="343"/>
      <c r="O178" s="343"/>
      <c r="P178" s="337">
        <f t="shared" si="43"/>
        <v>0</v>
      </c>
      <c r="Q178" s="338" t="e">
        <f t="shared" si="44"/>
        <v>#DIV/0!</v>
      </c>
    </row>
    <row r="179" spans="1:17" s="49" customFormat="1" ht="22.5" customHeight="1">
      <c r="A179" s="67" t="s">
        <v>57</v>
      </c>
      <c r="B179" s="56">
        <v>11511500</v>
      </c>
      <c r="C179" s="223">
        <f t="shared" si="53"/>
        <v>144000</v>
      </c>
      <c r="D179" s="223">
        <f t="shared" si="53"/>
        <v>500000</v>
      </c>
      <c r="E179" s="223">
        <f t="shared" si="54"/>
        <v>566968.638</v>
      </c>
      <c r="F179" s="224">
        <f t="shared" si="39"/>
        <v>66968.63800000004</v>
      </c>
      <c r="G179" s="151">
        <f t="shared" si="40"/>
        <v>113.39372760000002</v>
      </c>
      <c r="H179" s="208">
        <v>144000</v>
      </c>
      <c r="I179" s="208">
        <v>500000</v>
      </c>
      <c r="J179" s="208">
        <v>566968.638</v>
      </c>
      <c r="K179" s="203">
        <f t="shared" si="41"/>
        <v>66968.63800000004</v>
      </c>
      <c r="L179" s="151">
        <f t="shared" si="42"/>
        <v>113.39372760000002</v>
      </c>
      <c r="M179" s="343"/>
      <c r="N179" s="343"/>
      <c r="O179" s="343"/>
      <c r="P179" s="337">
        <f t="shared" si="43"/>
        <v>0</v>
      </c>
      <c r="Q179" s="338" t="e">
        <f t="shared" si="44"/>
        <v>#DIV/0!</v>
      </c>
    </row>
    <row r="180" spans="1:17" s="47" customFormat="1" ht="22.5" customHeight="1">
      <c r="A180" s="67" t="s">
        <v>58</v>
      </c>
      <c r="B180" s="56">
        <v>11511600</v>
      </c>
      <c r="C180" s="339">
        <f t="shared" si="53"/>
        <v>0</v>
      </c>
      <c r="D180" s="339">
        <f t="shared" si="53"/>
        <v>0</v>
      </c>
      <c r="E180" s="223">
        <f t="shared" si="54"/>
        <v>-3115.904</v>
      </c>
      <c r="F180" s="224">
        <f t="shared" si="39"/>
        <v>-3115.904</v>
      </c>
      <c r="G180" s="338" t="e">
        <f t="shared" si="40"/>
        <v>#DIV/0!</v>
      </c>
      <c r="H180" s="208"/>
      <c r="I180" s="208"/>
      <c r="J180" s="208">
        <v>-3115.904</v>
      </c>
      <c r="K180" s="203">
        <f t="shared" si="41"/>
        <v>-3115.904</v>
      </c>
      <c r="L180" s="338" t="e">
        <f t="shared" si="42"/>
        <v>#DIV/0!</v>
      </c>
      <c r="M180" s="343"/>
      <c r="N180" s="343"/>
      <c r="O180" s="343"/>
      <c r="P180" s="337">
        <f t="shared" si="43"/>
        <v>0</v>
      </c>
      <c r="Q180" s="338" t="e">
        <f t="shared" si="44"/>
        <v>#DIV/0!</v>
      </c>
    </row>
    <row r="181" spans="1:17" s="46" customFormat="1" ht="22.5" customHeight="1">
      <c r="A181" s="66" t="s">
        <v>59</v>
      </c>
      <c r="B181" s="65">
        <v>11512</v>
      </c>
      <c r="C181" s="348">
        <f>C182+C183</f>
        <v>0</v>
      </c>
      <c r="D181" s="348">
        <f>D182+D183</f>
        <v>0</v>
      </c>
      <c r="E181" s="227">
        <f>E182+E183</f>
        <v>18835.753</v>
      </c>
      <c r="F181" s="226">
        <f t="shared" si="39"/>
        <v>18835.753</v>
      </c>
      <c r="G181" s="342" t="e">
        <f t="shared" si="40"/>
        <v>#DIV/0!</v>
      </c>
      <c r="H181" s="344">
        <f>H182+H183</f>
        <v>0</v>
      </c>
      <c r="I181" s="344">
        <f>I182+I183</f>
        <v>0</v>
      </c>
      <c r="J181" s="206">
        <f>J182+J183</f>
        <v>18835.753</v>
      </c>
      <c r="K181" s="205">
        <f t="shared" si="41"/>
        <v>18835.753</v>
      </c>
      <c r="L181" s="342" t="e">
        <f t="shared" si="42"/>
        <v>#DIV/0!</v>
      </c>
      <c r="M181" s="344">
        <f>M182+M183</f>
        <v>0</v>
      </c>
      <c r="N181" s="344">
        <f>N182+N183</f>
        <v>0</v>
      </c>
      <c r="O181" s="344">
        <f>O182+O183</f>
        <v>0</v>
      </c>
      <c r="P181" s="341">
        <f t="shared" si="43"/>
        <v>0</v>
      </c>
      <c r="Q181" s="342" t="e">
        <f t="shared" si="44"/>
        <v>#DIV/0!</v>
      </c>
    </row>
    <row r="182" spans="1:17" s="47" customFormat="1" ht="22.5" customHeight="1">
      <c r="A182" s="67" t="s">
        <v>60</v>
      </c>
      <c r="B182" s="56">
        <v>11512100</v>
      </c>
      <c r="C182" s="339">
        <f aca="true" t="shared" si="55" ref="C182:E183">H182+M182</f>
        <v>0</v>
      </c>
      <c r="D182" s="339">
        <f t="shared" si="55"/>
        <v>0</v>
      </c>
      <c r="E182" s="223">
        <f t="shared" si="55"/>
        <v>18835.753</v>
      </c>
      <c r="F182" s="224">
        <f t="shared" si="39"/>
        <v>18835.753</v>
      </c>
      <c r="G182" s="338" t="e">
        <f t="shared" si="40"/>
        <v>#DIV/0!</v>
      </c>
      <c r="H182" s="202"/>
      <c r="I182" s="202"/>
      <c r="J182" s="202">
        <v>18835.753</v>
      </c>
      <c r="K182" s="203">
        <f t="shared" si="41"/>
        <v>18835.753</v>
      </c>
      <c r="L182" s="338" t="e">
        <f t="shared" si="42"/>
        <v>#DIV/0!</v>
      </c>
      <c r="M182" s="343"/>
      <c r="N182" s="343"/>
      <c r="O182" s="343"/>
      <c r="P182" s="337">
        <f t="shared" si="43"/>
        <v>0</v>
      </c>
      <c r="Q182" s="338" t="e">
        <f t="shared" si="44"/>
        <v>#DIV/0!</v>
      </c>
    </row>
    <row r="183" spans="1:17" s="47" customFormat="1" ht="22.5" customHeight="1" hidden="1">
      <c r="A183" s="67" t="s">
        <v>477</v>
      </c>
      <c r="B183" s="56">
        <v>11512200</v>
      </c>
      <c r="C183" s="223">
        <f t="shared" si="55"/>
        <v>0</v>
      </c>
      <c r="D183" s="223">
        <f t="shared" si="55"/>
        <v>0</v>
      </c>
      <c r="E183" s="223">
        <f t="shared" si="55"/>
        <v>0</v>
      </c>
      <c r="F183" s="224">
        <f t="shared" si="39"/>
        <v>0</v>
      </c>
      <c r="G183" s="151" t="e">
        <f t="shared" si="40"/>
        <v>#DIV/0!</v>
      </c>
      <c r="H183" s="202"/>
      <c r="I183" s="202"/>
      <c r="J183" s="202"/>
      <c r="K183" s="203">
        <f t="shared" si="41"/>
        <v>0</v>
      </c>
      <c r="L183" s="151" t="e">
        <f t="shared" si="42"/>
        <v>#DIV/0!</v>
      </c>
      <c r="M183" s="343"/>
      <c r="N183" s="343"/>
      <c r="O183" s="343"/>
      <c r="P183" s="337">
        <f t="shared" si="43"/>
        <v>0</v>
      </c>
      <c r="Q183" s="338" t="e">
        <f t="shared" si="44"/>
        <v>#DIV/0!</v>
      </c>
    </row>
    <row r="184" spans="1:17" s="46" customFormat="1" ht="22.5" customHeight="1">
      <c r="A184" s="66" t="s">
        <v>61</v>
      </c>
      <c r="B184" s="65">
        <v>11513</v>
      </c>
      <c r="C184" s="229">
        <f>C185+C186</f>
        <v>521689</v>
      </c>
      <c r="D184" s="229">
        <f>D185+D186</f>
        <v>528089</v>
      </c>
      <c r="E184" s="229">
        <f>E185+E186</f>
        <v>545272.6329999999</v>
      </c>
      <c r="F184" s="226">
        <f t="shared" si="39"/>
        <v>17183.632999999914</v>
      </c>
      <c r="G184" s="150">
        <f t="shared" si="40"/>
        <v>103.25392746298445</v>
      </c>
      <c r="H184" s="210">
        <f>H185+H186</f>
        <v>521689</v>
      </c>
      <c r="I184" s="210">
        <f>I185+I186</f>
        <v>528089</v>
      </c>
      <c r="J184" s="210">
        <f>J185+J186</f>
        <v>545272.6329999999</v>
      </c>
      <c r="K184" s="205">
        <f t="shared" si="41"/>
        <v>17183.632999999914</v>
      </c>
      <c r="L184" s="150">
        <f t="shared" si="42"/>
        <v>103.25392746298445</v>
      </c>
      <c r="M184" s="345">
        <f>M185+M186</f>
        <v>0</v>
      </c>
      <c r="N184" s="345">
        <f>N185+N186</f>
        <v>0</v>
      </c>
      <c r="O184" s="345">
        <f>O185+O186</f>
        <v>0</v>
      </c>
      <c r="P184" s="341">
        <f t="shared" si="43"/>
        <v>0</v>
      </c>
      <c r="Q184" s="342" t="e">
        <f t="shared" si="44"/>
        <v>#DIV/0!</v>
      </c>
    </row>
    <row r="185" spans="1:17" s="47" customFormat="1" ht="22.5" customHeight="1">
      <c r="A185" s="67" t="s">
        <v>27</v>
      </c>
      <c r="B185" s="56">
        <v>11513100</v>
      </c>
      <c r="C185" s="339">
        <f aca="true" t="shared" si="56" ref="C185:E186">H185+M185</f>
        <v>0</v>
      </c>
      <c r="D185" s="223">
        <f t="shared" si="56"/>
        <v>6400</v>
      </c>
      <c r="E185" s="223">
        <f t="shared" si="56"/>
        <v>7787.531</v>
      </c>
      <c r="F185" s="224">
        <f t="shared" si="39"/>
        <v>1387.531</v>
      </c>
      <c r="G185" s="151">
        <f t="shared" si="40"/>
        <v>121.680171875</v>
      </c>
      <c r="H185" s="208"/>
      <c r="I185" s="208">
        <v>6400</v>
      </c>
      <c r="J185" s="208">
        <v>7787.531</v>
      </c>
      <c r="K185" s="203">
        <f t="shared" si="41"/>
        <v>1387.531</v>
      </c>
      <c r="L185" s="151">
        <f t="shared" si="42"/>
        <v>121.680171875</v>
      </c>
      <c r="M185" s="343"/>
      <c r="N185" s="343"/>
      <c r="O185" s="343"/>
      <c r="P185" s="337">
        <f t="shared" si="43"/>
        <v>0</v>
      </c>
      <c r="Q185" s="338" t="e">
        <f t="shared" si="44"/>
        <v>#DIV/0!</v>
      </c>
    </row>
    <row r="186" spans="1:17" s="47" customFormat="1" ht="22.5" customHeight="1">
      <c r="A186" s="67" t="s">
        <v>361</v>
      </c>
      <c r="B186" s="56">
        <v>11513200</v>
      </c>
      <c r="C186" s="223">
        <f t="shared" si="56"/>
        <v>521689</v>
      </c>
      <c r="D186" s="223">
        <f t="shared" si="56"/>
        <v>521689</v>
      </c>
      <c r="E186" s="223">
        <f t="shared" si="56"/>
        <v>537485.102</v>
      </c>
      <c r="F186" s="224">
        <f t="shared" si="39"/>
        <v>15796.101999999955</v>
      </c>
      <c r="G186" s="151">
        <f t="shared" si="40"/>
        <v>103.0278771451957</v>
      </c>
      <c r="H186" s="208">
        <v>521689</v>
      </c>
      <c r="I186" s="208">
        <v>521689</v>
      </c>
      <c r="J186" s="208">
        <v>537485.102</v>
      </c>
      <c r="K186" s="203">
        <f t="shared" si="41"/>
        <v>15796.101999999955</v>
      </c>
      <c r="L186" s="151">
        <f t="shared" si="42"/>
        <v>103.0278771451957</v>
      </c>
      <c r="M186" s="343"/>
      <c r="N186" s="343"/>
      <c r="O186" s="343"/>
      <c r="P186" s="337">
        <f t="shared" si="43"/>
        <v>0</v>
      </c>
      <c r="Q186" s="338" t="e">
        <f t="shared" si="44"/>
        <v>#DIV/0!</v>
      </c>
    </row>
    <row r="187" spans="1:17" s="46" customFormat="1" ht="22.5" customHeight="1" hidden="1">
      <c r="A187" s="66" t="s">
        <v>62</v>
      </c>
      <c r="B187" s="65">
        <v>11514</v>
      </c>
      <c r="C187" s="227">
        <f>C188</f>
        <v>0</v>
      </c>
      <c r="D187" s="227">
        <f>D188</f>
        <v>0</v>
      </c>
      <c r="E187" s="227">
        <f>E188</f>
        <v>0</v>
      </c>
      <c r="F187" s="226">
        <f t="shared" si="39"/>
        <v>0</v>
      </c>
      <c r="G187" s="150" t="e">
        <f t="shared" si="40"/>
        <v>#DIV/0!</v>
      </c>
      <c r="H187" s="206">
        <f>H188</f>
        <v>0</v>
      </c>
      <c r="I187" s="206">
        <f>I188</f>
        <v>0</v>
      </c>
      <c r="J187" s="206">
        <f>J188</f>
        <v>0</v>
      </c>
      <c r="K187" s="205">
        <f t="shared" si="41"/>
        <v>0</v>
      </c>
      <c r="L187" s="150" t="e">
        <f t="shared" si="42"/>
        <v>#DIV/0!</v>
      </c>
      <c r="M187" s="344">
        <f>M188</f>
        <v>0</v>
      </c>
      <c r="N187" s="344">
        <f>N188</f>
        <v>0</v>
      </c>
      <c r="O187" s="344">
        <f>O188</f>
        <v>0</v>
      </c>
      <c r="P187" s="341">
        <f t="shared" si="43"/>
        <v>0</v>
      </c>
      <c r="Q187" s="342" t="e">
        <f t="shared" si="44"/>
        <v>#DIV/0!</v>
      </c>
    </row>
    <row r="188" spans="1:17" s="47" customFormat="1" ht="22.5" customHeight="1" hidden="1">
      <c r="A188" s="67" t="s">
        <v>62</v>
      </c>
      <c r="B188" s="56">
        <v>11514100</v>
      </c>
      <c r="C188" s="223">
        <f>H188+M188</f>
        <v>0</v>
      </c>
      <c r="D188" s="223">
        <f>I188+N188</f>
        <v>0</v>
      </c>
      <c r="E188" s="223">
        <f>J188+O188</f>
        <v>0</v>
      </c>
      <c r="F188" s="224">
        <f t="shared" si="39"/>
        <v>0</v>
      </c>
      <c r="G188" s="151" t="e">
        <f t="shared" si="40"/>
        <v>#DIV/0!</v>
      </c>
      <c r="H188" s="202"/>
      <c r="I188" s="202"/>
      <c r="J188" s="202"/>
      <c r="K188" s="203">
        <f t="shared" si="41"/>
        <v>0</v>
      </c>
      <c r="L188" s="151" t="e">
        <f t="shared" si="42"/>
        <v>#DIV/0!</v>
      </c>
      <c r="M188" s="343"/>
      <c r="N188" s="343"/>
      <c r="O188" s="343"/>
      <c r="P188" s="337">
        <f t="shared" si="43"/>
        <v>0</v>
      </c>
      <c r="Q188" s="338" t="e">
        <f t="shared" si="44"/>
        <v>#DIV/0!</v>
      </c>
    </row>
    <row r="189" spans="1:17" s="47" customFormat="1" ht="31.5" customHeight="1" hidden="1">
      <c r="A189" s="175" t="s">
        <v>478</v>
      </c>
      <c r="B189" s="176">
        <v>11515</v>
      </c>
      <c r="C189" s="227">
        <f>C190+C191+C192+C193</f>
        <v>0</v>
      </c>
      <c r="D189" s="227">
        <f>D190+D191+D192+D193</f>
        <v>0</v>
      </c>
      <c r="E189" s="227">
        <f>E190+E191+E192+E193</f>
        <v>0</v>
      </c>
      <c r="F189" s="226">
        <f t="shared" si="39"/>
        <v>0</v>
      </c>
      <c r="G189" s="150" t="e">
        <f t="shared" si="40"/>
        <v>#DIV/0!</v>
      </c>
      <c r="H189" s="206">
        <f>H190+H191+H192+H193</f>
        <v>0</v>
      </c>
      <c r="I189" s="206">
        <f>I190+I191+I192+I193</f>
        <v>0</v>
      </c>
      <c r="J189" s="206">
        <f>J190+J191+J192+J193</f>
        <v>0</v>
      </c>
      <c r="K189" s="205">
        <f t="shared" si="41"/>
        <v>0</v>
      </c>
      <c r="L189" s="150" t="e">
        <f t="shared" si="42"/>
        <v>#DIV/0!</v>
      </c>
      <c r="M189" s="344">
        <f>M190+M191+M192+M193</f>
        <v>0</v>
      </c>
      <c r="N189" s="344">
        <f>N190+N191+N192+N193</f>
        <v>0</v>
      </c>
      <c r="O189" s="344">
        <f>O190+O191+O192+O193</f>
        <v>0</v>
      </c>
      <c r="P189" s="341">
        <f t="shared" si="43"/>
        <v>0</v>
      </c>
      <c r="Q189" s="342" t="e">
        <f t="shared" si="44"/>
        <v>#DIV/0!</v>
      </c>
    </row>
    <row r="190" spans="1:17" s="47" customFormat="1" ht="22.5" customHeight="1" hidden="1">
      <c r="A190" s="177" t="s">
        <v>479</v>
      </c>
      <c r="B190" s="178">
        <v>11515100</v>
      </c>
      <c r="C190" s="223">
        <f aca="true" t="shared" si="57" ref="C190:E193">H190+M190</f>
        <v>0</v>
      </c>
      <c r="D190" s="223">
        <f t="shared" si="57"/>
        <v>0</v>
      </c>
      <c r="E190" s="223">
        <f t="shared" si="57"/>
        <v>0</v>
      </c>
      <c r="F190" s="224">
        <f t="shared" si="39"/>
        <v>0</v>
      </c>
      <c r="G190" s="151" t="e">
        <f t="shared" si="40"/>
        <v>#DIV/0!</v>
      </c>
      <c r="H190" s="202"/>
      <c r="I190" s="202"/>
      <c r="J190" s="202"/>
      <c r="K190" s="203">
        <f t="shared" si="41"/>
        <v>0</v>
      </c>
      <c r="L190" s="151" t="e">
        <f t="shared" si="42"/>
        <v>#DIV/0!</v>
      </c>
      <c r="M190" s="343"/>
      <c r="N190" s="343"/>
      <c r="O190" s="343"/>
      <c r="P190" s="337">
        <f t="shared" si="43"/>
        <v>0</v>
      </c>
      <c r="Q190" s="338" t="e">
        <f t="shared" si="44"/>
        <v>#DIV/0!</v>
      </c>
    </row>
    <row r="191" spans="1:17" s="47" customFormat="1" ht="22.5" customHeight="1" hidden="1">
      <c r="A191" s="177" t="s">
        <v>480</v>
      </c>
      <c r="B191" s="178">
        <v>11515200</v>
      </c>
      <c r="C191" s="223">
        <f t="shared" si="57"/>
        <v>0</v>
      </c>
      <c r="D191" s="223">
        <f t="shared" si="57"/>
        <v>0</v>
      </c>
      <c r="E191" s="223">
        <f t="shared" si="57"/>
        <v>0</v>
      </c>
      <c r="F191" s="224">
        <f t="shared" si="39"/>
        <v>0</v>
      </c>
      <c r="G191" s="151" t="e">
        <f t="shared" si="40"/>
        <v>#DIV/0!</v>
      </c>
      <c r="H191" s="202"/>
      <c r="I191" s="202"/>
      <c r="J191" s="202"/>
      <c r="K191" s="203">
        <f t="shared" si="41"/>
        <v>0</v>
      </c>
      <c r="L191" s="151" t="e">
        <f t="shared" si="42"/>
        <v>#DIV/0!</v>
      </c>
      <c r="M191" s="343"/>
      <c r="N191" s="343"/>
      <c r="O191" s="343"/>
      <c r="P191" s="337">
        <f t="shared" si="43"/>
        <v>0</v>
      </c>
      <c r="Q191" s="338" t="e">
        <f t="shared" si="44"/>
        <v>#DIV/0!</v>
      </c>
    </row>
    <row r="192" spans="1:17" s="47" customFormat="1" ht="22.5" customHeight="1" hidden="1">
      <c r="A192" s="177" t="s">
        <v>481</v>
      </c>
      <c r="B192" s="178">
        <v>11515300</v>
      </c>
      <c r="C192" s="223">
        <f t="shared" si="57"/>
        <v>0</v>
      </c>
      <c r="D192" s="223">
        <f t="shared" si="57"/>
        <v>0</v>
      </c>
      <c r="E192" s="223">
        <f t="shared" si="57"/>
        <v>0</v>
      </c>
      <c r="F192" s="224">
        <f t="shared" si="39"/>
        <v>0</v>
      </c>
      <c r="G192" s="151" t="e">
        <f t="shared" si="40"/>
        <v>#DIV/0!</v>
      </c>
      <c r="H192" s="202"/>
      <c r="I192" s="202"/>
      <c r="J192" s="202"/>
      <c r="K192" s="203">
        <f t="shared" si="41"/>
        <v>0</v>
      </c>
      <c r="L192" s="151" t="e">
        <f t="shared" si="42"/>
        <v>#DIV/0!</v>
      </c>
      <c r="M192" s="343"/>
      <c r="N192" s="343"/>
      <c r="O192" s="343"/>
      <c r="P192" s="337">
        <f t="shared" si="43"/>
        <v>0</v>
      </c>
      <c r="Q192" s="338" t="e">
        <f t="shared" si="44"/>
        <v>#DIV/0!</v>
      </c>
    </row>
    <row r="193" spans="1:17" s="47" customFormat="1" ht="22.5" customHeight="1" hidden="1">
      <c r="A193" s="177" t="s">
        <v>482</v>
      </c>
      <c r="B193" s="178">
        <v>11515400</v>
      </c>
      <c r="C193" s="223">
        <f t="shared" si="57"/>
        <v>0</v>
      </c>
      <c r="D193" s="223">
        <f t="shared" si="57"/>
        <v>0</v>
      </c>
      <c r="E193" s="223">
        <f t="shared" si="57"/>
        <v>0</v>
      </c>
      <c r="F193" s="224">
        <f t="shared" si="39"/>
        <v>0</v>
      </c>
      <c r="G193" s="151" t="e">
        <f t="shared" si="40"/>
        <v>#DIV/0!</v>
      </c>
      <c r="H193" s="202"/>
      <c r="I193" s="202"/>
      <c r="J193" s="202"/>
      <c r="K193" s="203">
        <f t="shared" si="41"/>
        <v>0</v>
      </c>
      <c r="L193" s="151" t="e">
        <f t="shared" si="42"/>
        <v>#DIV/0!</v>
      </c>
      <c r="M193" s="343"/>
      <c r="N193" s="343"/>
      <c r="O193" s="343"/>
      <c r="P193" s="337">
        <f t="shared" si="43"/>
        <v>0</v>
      </c>
      <c r="Q193" s="338" t="e">
        <f t="shared" si="44"/>
        <v>#DIV/0!</v>
      </c>
    </row>
    <row r="194" spans="1:17" s="47" customFormat="1" ht="22.5" customHeight="1">
      <c r="A194" s="175" t="s">
        <v>483</v>
      </c>
      <c r="B194" s="176">
        <v>11516</v>
      </c>
      <c r="C194" s="348">
        <f>C195+C196+C197+C198+C199</f>
        <v>0</v>
      </c>
      <c r="D194" s="348">
        <f>D195+D196+D197+D198+D199</f>
        <v>0</v>
      </c>
      <c r="E194" s="227">
        <f>E195+E196+E197+E198+E199</f>
        <v>235413.124</v>
      </c>
      <c r="F194" s="226">
        <f t="shared" si="39"/>
        <v>235413.124</v>
      </c>
      <c r="G194" s="342" t="e">
        <f t="shared" si="40"/>
        <v>#DIV/0!</v>
      </c>
      <c r="H194" s="344">
        <f>H195+H196+H197+H198+H199</f>
        <v>0</v>
      </c>
      <c r="I194" s="344">
        <f>I195+I196+I197+I198+I199</f>
        <v>0</v>
      </c>
      <c r="J194" s="206">
        <f>J195+J196+J197+J198+J199</f>
        <v>235413.124</v>
      </c>
      <c r="K194" s="205">
        <f t="shared" si="41"/>
        <v>235413.124</v>
      </c>
      <c r="L194" s="342" t="e">
        <f t="shared" si="42"/>
        <v>#DIV/0!</v>
      </c>
      <c r="M194" s="344">
        <f>M195+M196+M197+M198+M199</f>
        <v>0</v>
      </c>
      <c r="N194" s="344">
        <f>N195+N196+N197+N198+N199</f>
        <v>0</v>
      </c>
      <c r="O194" s="344">
        <f>O195+O196+O197+O198+O199</f>
        <v>0</v>
      </c>
      <c r="P194" s="341">
        <f t="shared" si="43"/>
        <v>0</v>
      </c>
      <c r="Q194" s="342" t="e">
        <f t="shared" si="44"/>
        <v>#DIV/0!</v>
      </c>
    </row>
    <row r="195" spans="1:17" s="47" customFormat="1" ht="22.5" customHeight="1" hidden="1">
      <c r="A195" s="177" t="s">
        <v>484</v>
      </c>
      <c r="B195" s="178">
        <v>11516100</v>
      </c>
      <c r="C195" s="339">
        <f aca="true" t="shared" si="58" ref="C195:E199">H195+M195</f>
        <v>0</v>
      </c>
      <c r="D195" s="339">
        <f t="shared" si="58"/>
        <v>0</v>
      </c>
      <c r="E195" s="223">
        <f t="shared" si="58"/>
        <v>0</v>
      </c>
      <c r="F195" s="224">
        <f t="shared" si="39"/>
        <v>0</v>
      </c>
      <c r="G195" s="338" t="e">
        <f t="shared" si="40"/>
        <v>#DIV/0!</v>
      </c>
      <c r="H195" s="202"/>
      <c r="I195" s="202"/>
      <c r="J195" s="202"/>
      <c r="K195" s="203">
        <f t="shared" si="41"/>
        <v>0</v>
      </c>
      <c r="L195" s="338" t="e">
        <f t="shared" si="42"/>
        <v>#DIV/0!</v>
      </c>
      <c r="M195" s="343"/>
      <c r="N195" s="343"/>
      <c r="O195" s="343"/>
      <c r="P195" s="337">
        <f t="shared" si="43"/>
        <v>0</v>
      </c>
      <c r="Q195" s="338" t="e">
        <f t="shared" si="44"/>
        <v>#DIV/0!</v>
      </c>
    </row>
    <row r="196" spans="1:17" s="47" customFormat="1" ht="22.5" customHeight="1" hidden="1">
      <c r="A196" s="177" t="s">
        <v>485</v>
      </c>
      <c r="B196" s="178">
        <v>11516200</v>
      </c>
      <c r="C196" s="339">
        <f t="shared" si="58"/>
        <v>0</v>
      </c>
      <c r="D196" s="339">
        <f t="shared" si="58"/>
        <v>0</v>
      </c>
      <c r="E196" s="223">
        <f t="shared" si="58"/>
        <v>0</v>
      </c>
      <c r="F196" s="224">
        <f t="shared" si="39"/>
        <v>0</v>
      </c>
      <c r="G196" s="338" t="e">
        <f t="shared" si="40"/>
        <v>#DIV/0!</v>
      </c>
      <c r="H196" s="202"/>
      <c r="I196" s="202"/>
      <c r="J196" s="202"/>
      <c r="K196" s="203">
        <f t="shared" si="41"/>
        <v>0</v>
      </c>
      <c r="L196" s="338" t="e">
        <f t="shared" si="42"/>
        <v>#DIV/0!</v>
      </c>
      <c r="M196" s="343"/>
      <c r="N196" s="343"/>
      <c r="O196" s="343"/>
      <c r="P196" s="337">
        <f t="shared" si="43"/>
        <v>0</v>
      </c>
      <c r="Q196" s="338" t="e">
        <f t="shared" si="44"/>
        <v>#DIV/0!</v>
      </c>
    </row>
    <row r="197" spans="1:17" s="47" customFormat="1" ht="22.5" customHeight="1" hidden="1">
      <c r="A197" s="177" t="s">
        <v>486</v>
      </c>
      <c r="B197" s="178">
        <v>11516300</v>
      </c>
      <c r="C197" s="339">
        <f t="shared" si="58"/>
        <v>0</v>
      </c>
      <c r="D197" s="339">
        <f t="shared" si="58"/>
        <v>0</v>
      </c>
      <c r="E197" s="223">
        <f t="shared" si="58"/>
        <v>0</v>
      </c>
      <c r="F197" s="224">
        <f t="shared" si="39"/>
        <v>0</v>
      </c>
      <c r="G197" s="338" t="e">
        <f t="shared" si="40"/>
        <v>#DIV/0!</v>
      </c>
      <c r="H197" s="202"/>
      <c r="I197" s="202"/>
      <c r="J197" s="202"/>
      <c r="K197" s="203">
        <f t="shared" si="41"/>
        <v>0</v>
      </c>
      <c r="L197" s="338" t="e">
        <f t="shared" si="42"/>
        <v>#DIV/0!</v>
      </c>
      <c r="M197" s="343"/>
      <c r="N197" s="343"/>
      <c r="O197" s="343"/>
      <c r="P197" s="337">
        <f t="shared" si="43"/>
        <v>0</v>
      </c>
      <c r="Q197" s="338" t="e">
        <f t="shared" si="44"/>
        <v>#DIV/0!</v>
      </c>
    </row>
    <row r="198" spans="1:17" s="47" customFormat="1" ht="22.5" customHeight="1" hidden="1">
      <c r="A198" s="177" t="s">
        <v>487</v>
      </c>
      <c r="B198" s="178">
        <v>11516400</v>
      </c>
      <c r="C198" s="339">
        <f t="shared" si="58"/>
        <v>0</v>
      </c>
      <c r="D198" s="339">
        <f t="shared" si="58"/>
        <v>0</v>
      </c>
      <c r="E198" s="223">
        <f t="shared" si="58"/>
        <v>0</v>
      </c>
      <c r="F198" s="224">
        <f t="shared" si="39"/>
        <v>0</v>
      </c>
      <c r="G198" s="338" t="e">
        <f t="shared" si="40"/>
        <v>#DIV/0!</v>
      </c>
      <c r="H198" s="202"/>
      <c r="I198" s="202"/>
      <c r="J198" s="202"/>
      <c r="K198" s="203">
        <f t="shared" si="41"/>
        <v>0</v>
      </c>
      <c r="L198" s="338" t="e">
        <f t="shared" si="42"/>
        <v>#DIV/0!</v>
      </c>
      <c r="M198" s="343"/>
      <c r="N198" s="343"/>
      <c r="O198" s="343"/>
      <c r="P198" s="337">
        <f t="shared" si="43"/>
        <v>0</v>
      </c>
      <c r="Q198" s="338" t="e">
        <f t="shared" si="44"/>
        <v>#DIV/0!</v>
      </c>
    </row>
    <row r="199" spans="1:17" s="47" customFormat="1" ht="22.5" customHeight="1">
      <c r="A199" s="177" t="s">
        <v>488</v>
      </c>
      <c r="B199" s="178">
        <v>11516500</v>
      </c>
      <c r="C199" s="339">
        <f t="shared" si="58"/>
        <v>0</v>
      </c>
      <c r="D199" s="339">
        <f t="shared" si="58"/>
        <v>0</v>
      </c>
      <c r="E199" s="223">
        <f t="shared" si="58"/>
        <v>235413.124</v>
      </c>
      <c r="F199" s="224">
        <f t="shared" si="39"/>
        <v>235413.124</v>
      </c>
      <c r="G199" s="338" t="e">
        <f t="shared" si="40"/>
        <v>#DIV/0!</v>
      </c>
      <c r="H199" s="202"/>
      <c r="I199" s="202"/>
      <c r="J199" s="202">
        <v>235413.124</v>
      </c>
      <c r="K199" s="203">
        <f t="shared" si="41"/>
        <v>235413.124</v>
      </c>
      <c r="L199" s="338" t="e">
        <f t="shared" si="42"/>
        <v>#DIV/0!</v>
      </c>
      <c r="M199" s="343"/>
      <c r="N199" s="343"/>
      <c r="O199" s="343"/>
      <c r="P199" s="337">
        <f t="shared" si="43"/>
        <v>0</v>
      </c>
      <c r="Q199" s="338" t="e">
        <f t="shared" si="44"/>
        <v>#DIV/0!</v>
      </c>
    </row>
    <row r="200" spans="1:17" s="47" customFormat="1" ht="44.25" customHeight="1">
      <c r="A200" s="175" t="s">
        <v>570</v>
      </c>
      <c r="B200" s="176">
        <v>11517</v>
      </c>
      <c r="C200" s="348">
        <f>C201+C202+C203+C204+C205</f>
        <v>0</v>
      </c>
      <c r="D200" s="348">
        <f>D201+D202+D203+D204+D205</f>
        <v>0</v>
      </c>
      <c r="E200" s="227">
        <f>E201+E202+E203+E204+E205</f>
        <v>2730.653</v>
      </c>
      <c r="F200" s="226">
        <f t="shared" si="39"/>
        <v>2730.653</v>
      </c>
      <c r="G200" s="342" t="e">
        <f t="shared" si="40"/>
        <v>#DIV/0!</v>
      </c>
      <c r="H200" s="344">
        <f>H201+H202+H203+H204+H205</f>
        <v>0</v>
      </c>
      <c r="I200" s="344">
        <f>I201+I202+I203+I204+I205</f>
        <v>0</v>
      </c>
      <c r="J200" s="206">
        <f>J201+J202+J203+J204+J205</f>
        <v>2730.653</v>
      </c>
      <c r="K200" s="205">
        <f t="shared" si="41"/>
        <v>2730.653</v>
      </c>
      <c r="L200" s="342" t="e">
        <f t="shared" si="42"/>
        <v>#DIV/0!</v>
      </c>
      <c r="M200" s="344">
        <f>M201+M202+M203+M204+M205</f>
        <v>0</v>
      </c>
      <c r="N200" s="344">
        <f>N201+N202+N203+N204+N205</f>
        <v>0</v>
      </c>
      <c r="O200" s="344">
        <f>O201+O202+O203+O204+O205</f>
        <v>0</v>
      </c>
      <c r="P200" s="341">
        <f t="shared" si="43"/>
        <v>0</v>
      </c>
      <c r="Q200" s="342" t="e">
        <f t="shared" si="44"/>
        <v>#DIV/0!</v>
      </c>
    </row>
    <row r="201" spans="1:17" s="47" customFormat="1" ht="22.5" customHeight="1" hidden="1">
      <c r="A201" s="177" t="s">
        <v>489</v>
      </c>
      <c r="B201" s="178">
        <v>11517100</v>
      </c>
      <c r="C201" s="339">
        <f aca="true" t="shared" si="59" ref="C201:E205">H201+M201</f>
        <v>0</v>
      </c>
      <c r="D201" s="339">
        <f t="shared" si="59"/>
        <v>0</v>
      </c>
      <c r="E201" s="223">
        <f t="shared" si="59"/>
        <v>0</v>
      </c>
      <c r="F201" s="224">
        <f t="shared" si="39"/>
        <v>0</v>
      </c>
      <c r="G201" s="338" t="e">
        <f t="shared" si="40"/>
        <v>#DIV/0!</v>
      </c>
      <c r="H201" s="202"/>
      <c r="I201" s="202"/>
      <c r="J201" s="202"/>
      <c r="K201" s="203">
        <f t="shared" si="41"/>
        <v>0</v>
      </c>
      <c r="L201" s="338" t="e">
        <f t="shared" si="42"/>
        <v>#DIV/0!</v>
      </c>
      <c r="M201" s="343"/>
      <c r="N201" s="343"/>
      <c r="O201" s="343"/>
      <c r="P201" s="337">
        <f t="shared" si="43"/>
        <v>0</v>
      </c>
      <c r="Q201" s="338" t="e">
        <f t="shared" si="44"/>
        <v>#DIV/0!</v>
      </c>
    </row>
    <row r="202" spans="1:17" s="47" customFormat="1" ht="22.5" customHeight="1" hidden="1">
      <c r="A202" s="177" t="s">
        <v>490</v>
      </c>
      <c r="B202" s="178">
        <v>11517200</v>
      </c>
      <c r="C202" s="339">
        <f t="shared" si="59"/>
        <v>0</v>
      </c>
      <c r="D202" s="339">
        <f t="shared" si="59"/>
        <v>0</v>
      </c>
      <c r="E202" s="223">
        <f t="shared" si="59"/>
        <v>0</v>
      </c>
      <c r="F202" s="224">
        <f t="shared" si="39"/>
        <v>0</v>
      </c>
      <c r="G202" s="338" t="e">
        <f t="shared" si="40"/>
        <v>#DIV/0!</v>
      </c>
      <c r="H202" s="202"/>
      <c r="I202" s="202"/>
      <c r="J202" s="202"/>
      <c r="K202" s="203">
        <f t="shared" si="41"/>
        <v>0</v>
      </c>
      <c r="L202" s="338" t="e">
        <f t="shared" si="42"/>
        <v>#DIV/0!</v>
      </c>
      <c r="M202" s="343"/>
      <c r="N202" s="343"/>
      <c r="O202" s="343"/>
      <c r="P202" s="337">
        <f t="shared" si="43"/>
        <v>0</v>
      </c>
      <c r="Q202" s="338" t="e">
        <f t="shared" si="44"/>
        <v>#DIV/0!</v>
      </c>
    </row>
    <row r="203" spans="1:17" s="47" customFormat="1" ht="22.5" customHeight="1" hidden="1">
      <c r="A203" s="177" t="s">
        <v>491</v>
      </c>
      <c r="B203" s="178">
        <v>11517300</v>
      </c>
      <c r="C203" s="339">
        <f t="shared" si="59"/>
        <v>0</v>
      </c>
      <c r="D203" s="339">
        <f t="shared" si="59"/>
        <v>0</v>
      </c>
      <c r="E203" s="223">
        <f t="shared" si="59"/>
        <v>0</v>
      </c>
      <c r="F203" s="224">
        <f aca="true" t="shared" si="60" ref="F203:F266">E203-D203</f>
        <v>0</v>
      </c>
      <c r="G203" s="338" t="e">
        <f aca="true" t="shared" si="61" ref="G203:G266">E203/D203*100</f>
        <v>#DIV/0!</v>
      </c>
      <c r="H203" s="202"/>
      <c r="I203" s="202"/>
      <c r="J203" s="202"/>
      <c r="K203" s="203">
        <f aca="true" t="shared" si="62" ref="K203:K266">J203-I203</f>
        <v>0</v>
      </c>
      <c r="L203" s="338" t="e">
        <f aca="true" t="shared" si="63" ref="L203:L266">J203/I203*100</f>
        <v>#DIV/0!</v>
      </c>
      <c r="M203" s="343"/>
      <c r="N203" s="343"/>
      <c r="O203" s="343"/>
      <c r="P203" s="337">
        <f aca="true" t="shared" si="64" ref="P203:P266">O203-N203</f>
        <v>0</v>
      </c>
      <c r="Q203" s="338" t="e">
        <f aca="true" t="shared" si="65" ref="Q203:Q266">O203/N203*100</f>
        <v>#DIV/0!</v>
      </c>
    </row>
    <row r="204" spans="1:17" s="47" customFormat="1" ht="22.5" customHeight="1" hidden="1">
      <c r="A204" s="177" t="s">
        <v>492</v>
      </c>
      <c r="B204" s="178">
        <v>11517400</v>
      </c>
      <c r="C204" s="339">
        <f t="shared" si="59"/>
        <v>0</v>
      </c>
      <c r="D204" s="339">
        <f t="shared" si="59"/>
        <v>0</v>
      </c>
      <c r="E204" s="223">
        <f t="shared" si="59"/>
        <v>0</v>
      </c>
      <c r="F204" s="224">
        <f t="shared" si="60"/>
        <v>0</v>
      </c>
      <c r="G204" s="338" t="e">
        <f t="shared" si="61"/>
        <v>#DIV/0!</v>
      </c>
      <c r="H204" s="202"/>
      <c r="I204" s="202"/>
      <c r="J204" s="202"/>
      <c r="K204" s="203">
        <f t="shared" si="62"/>
        <v>0</v>
      </c>
      <c r="L204" s="338" t="e">
        <f t="shared" si="63"/>
        <v>#DIV/0!</v>
      </c>
      <c r="M204" s="343"/>
      <c r="N204" s="343"/>
      <c r="O204" s="343"/>
      <c r="P204" s="337">
        <f t="shared" si="64"/>
        <v>0</v>
      </c>
      <c r="Q204" s="338" t="e">
        <f t="shared" si="65"/>
        <v>#DIV/0!</v>
      </c>
    </row>
    <row r="205" spans="1:17" s="47" customFormat="1" ht="22.5" customHeight="1">
      <c r="A205" s="177" t="s">
        <v>493</v>
      </c>
      <c r="B205" s="178">
        <v>11517500</v>
      </c>
      <c r="C205" s="339">
        <f t="shared" si="59"/>
        <v>0</v>
      </c>
      <c r="D205" s="339">
        <f t="shared" si="59"/>
        <v>0</v>
      </c>
      <c r="E205" s="223">
        <f t="shared" si="59"/>
        <v>2730.653</v>
      </c>
      <c r="F205" s="224">
        <f t="shared" si="60"/>
        <v>2730.653</v>
      </c>
      <c r="G205" s="338" t="e">
        <f t="shared" si="61"/>
        <v>#DIV/0!</v>
      </c>
      <c r="H205" s="202"/>
      <c r="I205" s="202"/>
      <c r="J205" s="202">
        <v>2730.653</v>
      </c>
      <c r="K205" s="203">
        <f t="shared" si="62"/>
        <v>2730.653</v>
      </c>
      <c r="L205" s="338" t="e">
        <f t="shared" si="63"/>
        <v>#DIV/0!</v>
      </c>
      <c r="M205" s="343"/>
      <c r="N205" s="343"/>
      <c r="O205" s="343"/>
      <c r="P205" s="337">
        <f t="shared" si="64"/>
        <v>0</v>
      </c>
      <c r="Q205" s="338" t="e">
        <f t="shared" si="65"/>
        <v>#DIV/0!</v>
      </c>
    </row>
    <row r="206" spans="1:17" s="47" customFormat="1" ht="22.5" customHeight="1" hidden="1">
      <c r="A206" s="175" t="s">
        <v>494</v>
      </c>
      <c r="B206" s="176">
        <v>11518</v>
      </c>
      <c r="C206" s="227">
        <f>C207</f>
        <v>0</v>
      </c>
      <c r="D206" s="227">
        <f>D207</f>
        <v>0</v>
      </c>
      <c r="E206" s="227">
        <f>E207</f>
        <v>0</v>
      </c>
      <c r="F206" s="226">
        <f t="shared" si="60"/>
        <v>0</v>
      </c>
      <c r="G206" s="150" t="e">
        <f t="shared" si="61"/>
        <v>#DIV/0!</v>
      </c>
      <c r="H206" s="206">
        <f>H207</f>
        <v>0</v>
      </c>
      <c r="I206" s="206">
        <f>I207</f>
        <v>0</v>
      </c>
      <c r="J206" s="206">
        <f>J207</f>
        <v>0</v>
      </c>
      <c r="K206" s="205">
        <f t="shared" si="62"/>
        <v>0</v>
      </c>
      <c r="L206" s="150" t="e">
        <f t="shared" si="63"/>
        <v>#DIV/0!</v>
      </c>
      <c r="M206" s="344">
        <f>M207</f>
        <v>0</v>
      </c>
      <c r="N206" s="344">
        <f>N207</f>
        <v>0</v>
      </c>
      <c r="O206" s="344">
        <f>O207</f>
        <v>0</v>
      </c>
      <c r="P206" s="341">
        <f t="shared" si="64"/>
        <v>0</v>
      </c>
      <c r="Q206" s="342" t="e">
        <f t="shared" si="65"/>
        <v>#DIV/0!</v>
      </c>
    </row>
    <row r="207" spans="1:17" s="47" customFormat="1" ht="22.5" customHeight="1" hidden="1">
      <c r="A207" s="177" t="s">
        <v>494</v>
      </c>
      <c r="B207" s="178">
        <v>11518100</v>
      </c>
      <c r="C207" s="223">
        <f>H207+M207</f>
        <v>0</v>
      </c>
      <c r="D207" s="223">
        <f>I207+N207</f>
        <v>0</v>
      </c>
      <c r="E207" s="223">
        <f>J207+O207</f>
        <v>0</v>
      </c>
      <c r="F207" s="224">
        <f t="shared" si="60"/>
        <v>0</v>
      </c>
      <c r="G207" s="151" t="e">
        <f t="shared" si="61"/>
        <v>#DIV/0!</v>
      </c>
      <c r="H207" s="202"/>
      <c r="I207" s="202"/>
      <c r="J207" s="202"/>
      <c r="K207" s="203">
        <f t="shared" si="62"/>
        <v>0</v>
      </c>
      <c r="L207" s="151" t="e">
        <f t="shared" si="63"/>
        <v>#DIV/0!</v>
      </c>
      <c r="M207" s="343"/>
      <c r="N207" s="343"/>
      <c r="O207" s="343"/>
      <c r="P207" s="337">
        <f t="shared" si="64"/>
        <v>0</v>
      </c>
      <c r="Q207" s="338" t="e">
        <f t="shared" si="65"/>
        <v>#DIV/0!</v>
      </c>
    </row>
    <row r="208" spans="1:17" s="47" customFormat="1" ht="22.5" customHeight="1">
      <c r="A208" s="175" t="s">
        <v>495</v>
      </c>
      <c r="B208" s="176">
        <v>1152</v>
      </c>
      <c r="C208" s="227">
        <f>C209+C214+C219+C224+C229</f>
        <v>17086800</v>
      </c>
      <c r="D208" s="227">
        <f>D209+D214+D219+D224+D229</f>
        <v>15269400</v>
      </c>
      <c r="E208" s="227">
        <f>E209+E214+E219+E224+E229</f>
        <v>15120340.141</v>
      </c>
      <c r="F208" s="226">
        <f t="shared" si="60"/>
        <v>-149059.85899999924</v>
      </c>
      <c r="G208" s="150">
        <f t="shared" si="61"/>
        <v>99.02380015586729</v>
      </c>
      <c r="H208" s="206">
        <f>H209+H214+H219+H224+H229</f>
        <v>17086800</v>
      </c>
      <c r="I208" s="206">
        <f>I209+I214+I219+I224+I229</f>
        <v>15269400</v>
      </c>
      <c r="J208" s="206">
        <f>J209+J214+J219+J224+J229</f>
        <v>15120340.141</v>
      </c>
      <c r="K208" s="205">
        <f t="shared" si="62"/>
        <v>-149059.85899999924</v>
      </c>
      <c r="L208" s="150">
        <f t="shared" si="63"/>
        <v>99.02380015586729</v>
      </c>
      <c r="M208" s="344">
        <f>M209+M214+M219+M224+M229</f>
        <v>0</v>
      </c>
      <c r="N208" s="344">
        <f>N209+N214+N219+N224+N229</f>
        <v>0</v>
      </c>
      <c r="O208" s="344">
        <f>O209+O214+O219+O224+O229</f>
        <v>0</v>
      </c>
      <c r="P208" s="341">
        <f t="shared" si="64"/>
        <v>0</v>
      </c>
      <c r="Q208" s="342" t="e">
        <f t="shared" si="65"/>
        <v>#DIV/0!</v>
      </c>
    </row>
    <row r="209" spans="1:17" s="47" customFormat="1" ht="22.5" customHeight="1">
      <c r="A209" s="175" t="s">
        <v>496</v>
      </c>
      <c r="B209" s="176">
        <v>11521</v>
      </c>
      <c r="C209" s="228">
        <f aca="true" t="shared" si="66" ref="C209:D213">H209+M209</f>
        <v>17086800</v>
      </c>
      <c r="D209" s="228">
        <f t="shared" si="66"/>
        <v>15269400</v>
      </c>
      <c r="E209" s="227">
        <f>E210+E211+E212+E213</f>
        <v>14980910.818</v>
      </c>
      <c r="F209" s="226">
        <f t="shared" si="60"/>
        <v>-288489.18200000003</v>
      </c>
      <c r="G209" s="150">
        <f t="shared" si="61"/>
        <v>98.1106711331159</v>
      </c>
      <c r="H209" s="206">
        <v>17086800</v>
      </c>
      <c r="I209" s="206">
        <v>15269400</v>
      </c>
      <c r="J209" s="206">
        <f>J210+J211+J212+J213</f>
        <v>14980910.818</v>
      </c>
      <c r="K209" s="205">
        <f t="shared" si="62"/>
        <v>-288489.18200000003</v>
      </c>
      <c r="L209" s="150">
        <f t="shared" si="63"/>
        <v>98.1106711331159</v>
      </c>
      <c r="M209" s="344">
        <f>M210+M211+M212+M213</f>
        <v>0</v>
      </c>
      <c r="N209" s="344">
        <f>N210+N211+N212+N213</f>
        <v>0</v>
      </c>
      <c r="O209" s="344">
        <f>O210+O211+O212+O213</f>
        <v>0</v>
      </c>
      <c r="P209" s="341">
        <f t="shared" si="64"/>
        <v>0</v>
      </c>
      <c r="Q209" s="342" t="e">
        <f t="shared" si="65"/>
        <v>#DIV/0!</v>
      </c>
    </row>
    <row r="210" spans="1:17" s="47" customFormat="1" ht="22.5" customHeight="1" hidden="1">
      <c r="A210" s="177" t="s">
        <v>497</v>
      </c>
      <c r="B210" s="178">
        <v>11521100</v>
      </c>
      <c r="C210" s="223">
        <f t="shared" si="66"/>
        <v>0</v>
      </c>
      <c r="D210" s="223">
        <f t="shared" si="66"/>
        <v>0</v>
      </c>
      <c r="E210" s="223">
        <f>J210+O210</f>
        <v>824814.187</v>
      </c>
      <c r="F210" s="224">
        <f t="shared" si="60"/>
        <v>824814.187</v>
      </c>
      <c r="G210" s="151" t="e">
        <f t="shared" si="61"/>
        <v>#DIV/0!</v>
      </c>
      <c r="H210" s="202"/>
      <c r="I210" s="202"/>
      <c r="J210" s="202">
        <v>824814.187</v>
      </c>
      <c r="K210" s="203">
        <f t="shared" si="62"/>
        <v>824814.187</v>
      </c>
      <c r="L210" s="151" t="e">
        <f t="shared" si="63"/>
        <v>#DIV/0!</v>
      </c>
      <c r="M210" s="343"/>
      <c r="N210" s="343"/>
      <c r="O210" s="343"/>
      <c r="P210" s="337">
        <f t="shared" si="64"/>
        <v>0</v>
      </c>
      <c r="Q210" s="338" t="e">
        <f t="shared" si="65"/>
        <v>#DIV/0!</v>
      </c>
    </row>
    <row r="211" spans="1:17" s="47" customFormat="1" ht="22.5" customHeight="1" hidden="1">
      <c r="A211" s="177" t="s">
        <v>498</v>
      </c>
      <c r="B211" s="178">
        <v>11521200</v>
      </c>
      <c r="C211" s="223">
        <f t="shared" si="66"/>
        <v>0</v>
      </c>
      <c r="D211" s="223">
        <f t="shared" si="66"/>
        <v>0</v>
      </c>
      <c r="E211" s="223">
        <f>J211+O211</f>
        <v>823532.603</v>
      </c>
      <c r="F211" s="224">
        <f t="shared" si="60"/>
        <v>823532.603</v>
      </c>
      <c r="G211" s="151" t="e">
        <f t="shared" si="61"/>
        <v>#DIV/0!</v>
      </c>
      <c r="H211" s="202"/>
      <c r="I211" s="202"/>
      <c r="J211" s="202">
        <v>823532.603</v>
      </c>
      <c r="K211" s="203">
        <f t="shared" si="62"/>
        <v>823532.603</v>
      </c>
      <c r="L211" s="151" t="e">
        <f t="shared" si="63"/>
        <v>#DIV/0!</v>
      </c>
      <c r="M211" s="343"/>
      <c r="N211" s="343"/>
      <c r="O211" s="343"/>
      <c r="P211" s="337">
        <f t="shared" si="64"/>
        <v>0</v>
      </c>
      <c r="Q211" s="338" t="e">
        <f t="shared" si="65"/>
        <v>#DIV/0!</v>
      </c>
    </row>
    <row r="212" spans="1:17" s="47" customFormat="1" ht="22.5" customHeight="1" hidden="1">
      <c r="A212" s="177" t="s">
        <v>499</v>
      </c>
      <c r="B212" s="178">
        <v>11521300</v>
      </c>
      <c r="C212" s="223">
        <f t="shared" si="66"/>
        <v>0</v>
      </c>
      <c r="D212" s="223">
        <f t="shared" si="66"/>
        <v>0</v>
      </c>
      <c r="E212" s="223">
        <f>J212+O212</f>
        <v>13213950.627</v>
      </c>
      <c r="F212" s="224">
        <f t="shared" si="60"/>
        <v>13213950.627</v>
      </c>
      <c r="G212" s="151" t="e">
        <f t="shared" si="61"/>
        <v>#DIV/0!</v>
      </c>
      <c r="H212" s="202"/>
      <c r="I212" s="202"/>
      <c r="J212" s="202">
        <v>13213950.627</v>
      </c>
      <c r="K212" s="203">
        <f t="shared" si="62"/>
        <v>13213950.627</v>
      </c>
      <c r="L212" s="151" t="e">
        <f t="shared" si="63"/>
        <v>#DIV/0!</v>
      </c>
      <c r="M212" s="343"/>
      <c r="N212" s="343"/>
      <c r="O212" s="343"/>
      <c r="P212" s="337">
        <f t="shared" si="64"/>
        <v>0</v>
      </c>
      <c r="Q212" s="338" t="e">
        <f t="shared" si="65"/>
        <v>#DIV/0!</v>
      </c>
    </row>
    <row r="213" spans="1:17" s="47" customFormat="1" ht="22.5" customHeight="1" hidden="1">
      <c r="A213" s="177" t="s">
        <v>500</v>
      </c>
      <c r="B213" s="178">
        <v>11521400</v>
      </c>
      <c r="C213" s="223">
        <f t="shared" si="66"/>
        <v>0</v>
      </c>
      <c r="D213" s="223">
        <f t="shared" si="66"/>
        <v>0</v>
      </c>
      <c r="E213" s="223">
        <f>J213+O213</f>
        <v>118613.401</v>
      </c>
      <c r="F213" s="224">
        <f t="shared" si="60"/>
        <v>118613.401</v>
      </c>
      <c r="G213" s="151" t="e">
        <f t="shared" si="61"/>
        <v>#DIV/0!</v>
      </c>
      <c r="H213" s="202"/>
      <c r="I213" s="202"/>
      <c r="J213" s="202">
        <v>118613.401</v>
      </c>
      <c r="K213" s="203">
        <f t="shared" si="62"/>
        <v>118613.401</v>
      </c>
      <c r="L213" s="151" t="e">
        <f t="shared" si="63"/>
        <v>#DIV/0!</v>
      </c>
      <c r="M213" s="343"/>
      <c r="N213" s="343"/>
      <c r="O213" s="343"/>
      <c r="P213" s="337">
        <f t="shared" si="64"/>
        <v>0</v>
      </c>
      <c r="Q213" s="338" t="e">
        <f t="shared" si="65"/>
        <v>#DIV/0!</v>
      </c>
    </row>
    <row r="214" spans="1:17" s="47" customFormat="1" ht="36.75" customHeight="1" hidden="1">
      <c r="A214" s="175" t="s">
        <v>501</v>
      </c>
      <c r="B214" s="176">
        <v>11522</v>
      </c>
      <c r="C214" s="227">
        <f>C215+C216+C217+C218</f>
        <v>0</v>
      </c>
      <c r="D214" s="227">
        <f>D215+D216+D217+D218</f>
        <v>0</v>
      </c>
      <c r="E214" s="227">
        <f>E215+E216+E217+E218</f>
        <v>0</v>
      </c>
      <c r="F214" s="226">
        <f t="shared" si="60"/>
        <v>0</v>
      </c>
      <c r="G214" s="150" t="e">
        <f t="shared" si="61"/>
        <v>#DIV/0!</v>
      </c>
      <c r="H214" s="206">
        <f>H215+H216+H217+H218</f>
        <v>0</v>
      </c>
      <c r="I214" s="206">
        <f>I215+I216+I217+I218</f>
        <v>0</v>
      </c>
      <c r="J214" s="206">
        <f>J215+J216+J217+J218</f>
        <v>0</v>
      </c>
      <c r="K214" s="205">
        <f t="shared" si="62"/>
        <v>0</v>
      </c>
      <c r="L214" s="150" t="e">
        <f t="shared" si="63"/>
        <v>#DIV/0!</v>
      </c>
      <c r="M214" s="344">
        <f>M215+M216+M217+M218</f>
        <v>0</v>
      </c>
      <c r="N214" s="344">
        <f>N215+N216+N217+N218</f>
        <v>0</v>
      </c>
      <c r="O214" s="344">
        <f>O215+O216+O217+O218</f>
        <v>0</v>
      </c>
      <c r="P214" s="341">
        <f t="shared" si="64"/>
        <v>0</v>
      </c>
      <c r="Q214" s="342" t="e">
        <f t="shared" si="65"/>
        <v>#DIV/0!</v>
      </c>
    </row>
    <row r="215" spans="1:17" s="47" customFormat="1" ht="22.5" customHeight="1" hidden="1">
      <c r="A215" s="177" t="s">
        <v>502</v>
      </c>
      <c r="B215" s="178">
        <v>11522100</v>
      </c>
      <c r="C215" s="223">
        <f aca="true" t="shared" si="67" ref="C215:E218">H215+M215</f>
        <v>0</v>
      </c>
      <c r="D215" s="223">
        <f t="shared" si="67"/>
        <v>0</v>
      </c>
      <c r="E215" s="223">
        <f t="shared" si="67"/>
        <v>0</v>
      </c>
      <c r="F215" s="224">
        <f t="shared" si="60"/>
        <v>0</v>
      </c>
      <c r="G215" s="151" t="e">
        <f t="shared" si="61"/>
        <v>#DIV/0!</v>
      </c>
      <c r="H215" s="202"/>
      <c r="I215" s="202"/>
      <c r="J215" s="202"/>
      <c r="K215" s="203">
        <f t="shared" si="62"/>
        <v>0</v>
      </c>
      <c r="L215" s="151" t="e">
        <f t="shared" si="63"/>
        <v>#DIV/0!</v>
      </c>
      <c r="M215" s="343"/>
      <c r="N215" s="343"/>
      <c r="O215" s="343"/>
      <c r="P215" s="337">
        <f t="shared" si="64"/>
        <v>0</v>
      </c>
      <c r="Q215" s="338" t="e">
        <f t="shared" si="65"/>
        <v>#DIV/0!</v>
      </c>
    </row>
    <row r="216" spans="1:17" s="47" customFormat="1" ht="22.5" customHeight="1" hidden="1">
      <c r="A216" s="177" t="s">
        <v>503</v>
      </c>
      <c r="B216" s="178">
        <v>11522200</v>
      </c>
      <c r="C216" s="223">
        <f t="shared" si="67"/>
        <v>0</v>
      </c>
      <c r="D216" s="223">
        <f t="shared" si="67"/>
        <v>0</v>
      </c>
      <c r="E216" s="223">
        <f t="shared" si="67"/>
        <v>0</v>
      </c>
      <c r="F216" s="224">
        <f t="shared" si="60"/>
        <v>0</v>
      </c>
      <c r="G216" s="151" t="e">
        <f t="shared" si="61"/>
        <v>#DIV/0!</v>
      </c>
      <c r="H216" s="202"/>
      <c r="I216" s="202"/>
      <c r="J216" s="202"/>
      <c r="K216" s="203">
        <f t="shared" si="62"/>
        <v>0</v>
      </c>
      <c r="L216" s="151" t="e">
        <f t="shared" si="63"/>
        <v>#DIV/0!</v>
      </c>
      <c r="M216" s="343"/>
      <c r="N216" s="343"/>
      <c r="O216" s="343"/>
      <c r="P216" s="337">
        <f t="shared" si="64"/>
        <v>0</v>
      </c>
      <c r="Q216" s="338" t="e">
        <f t="shared" si="65"/>
        <v>#DIV/0!</v>
      </c>
    </row>
    <row r="217" spans="1:17" s="47" customFormat="1" ht="22.5" customHeight="1" hidden="1">
      <c r="A217" s="177" t="s">
        <v>504</v>
      </c>
      <c r="B217" s="178">
        <v>11522300</v>
      </c>
      <c r="C217" s="223">
        <f t="shared" si="67"/>
        <v>0</v>
      </c>
      <c r="D217" s="223">
        <f t="shared" si="67"/>
        <v>0</v>
      </c>
      <c r="E217" s="223">
        <f t="shared" si="67"/>
        <v>0</v>
      </c>
      <c r="F217" s="224">
        <f t="shared" si="60"/>
        <v>0</v>
      </c>
      <c r="G217" s="151" t="e">
        <f t="shared" si="61"/>
        <v>#DIV/0!</v>
      </c>
      <c r="H217" s="202"/>
      <c r="I217" s="202"/>
      <c r="J217" s="202"/>
      <c r="K217" s="203">
        <f t="shared" si="62"/>
        <v>0</v>
      </c>
      <c r="L217" s="151" t="e">
        <f t="shared" si="63"/>
        <v>#DIV/0!</v>
      </c>
      <c r="M217" s="343"/>
      <c r="N217" s="343"/>
      <c r="O217" s="343"/>
      <c r="P217" s="337">
        <f t="shared" si="64"/>
        <v>0</v>
      </c>
      <c r="Q217" s="338" t="e">
        <f t="shared" si="65"/>
        <v>#DIV/0!</v>
      </c>
    </row>
    <row r="218" spans="1:17" s="47" customFormat="1" ht="22.5" customHeight="1" hidden="1">
      <c r="A218" s="177" t="s">
        <v>505</v>
      </c>
      <c r="B218" s="178">
        <v>11522400</v>
      </c>
      <c r="C218" s="223">
        <f t="shared" si="67"/>
        <v>0</v>
      </c>
      <c r="D218" s="223">
        <f t="shared" si="67"/>
        <v>0</v>
      </c>
      <c r="E218" s="223">
        <f t="shared" si="67"/>
        <v>0</v>
      </c>
      <c r="F218" s="224">
        <f t="shared" si="60"/>
        <v>0</v>
      </c>
      <c r="G218" s="151" t="e">
        <f t="shared" si="61"/>
        <v>#DIV/0!</v>
      </c>
      <c r="H218" s="202"/>
      <c r="I218" s="202"/>
      <c r="J218" s="202"/>
      <c r="K218" s="203">
        <f t="shared" si="62"/>
        <v>0</v>
      </c>
      <c r="L218" s="151" t="e">
        <f t="shared" si="63"/>
        <v>#DIV/0!</v>
      </c>
      <c r="M218" s="343"/>
      <c r="N218" s="343"/>
      <c r="O218" s="343"/>
      <c r="P218" s="337">
        <f t="shared" si="64"/>
        <v>0</v>
      </c>
      <c r="Q218" s="338" t="e">
        <f t="shared" si="65"/>
        <v>#DIV/0!</v>
      </c>
    </row>
    <row r="219" spans="1:17" s="47" customFormat="1" ht="46.5" customHeight="1" hidden="1">
      <c r="A219" s="152" t="s">
        <v>506</v>
      </c>
      <c r="B219" s="176">
        <v>11523</v>
      </c>
      <c r="C219" s="227">
        <f>C220+C221+C222+C223</f>
        <v>0</v>
      </c>
      <c r="D219" s="227">
        <f>D220+D221+D222+D223</f>
        <v>0</v>
      </c>
      <c r="E219" s="227">
        <f>E220+E221+E222+E223</f>
        <v>0</v>
      </c>
      <c r="F219" s="226">
        <f t="shared" si="60"/>
        <v>0</v>
      </c>
      <c r="G219" s="150" t="e">
        <f t="shared" si="61"/>
        <v>#DIV/0!</v>
      </c>
      <c r="H219" s="206">
        <f>H220+H221+H222+H223</f>
        <v>0</v>
      </c>
      <c r="I219" s="206">
        <f>I220+I221+I222+I223</f>
        <v>0</v>
      </c>
      <c r="J219" s="206">
        <f>J220+J221+J222+J223</f>
        <v>0</v>
      </c>
      <c r="K219" s="205">
        <f t="shared" si="62"/>
        <v>0</v>
      </c>
      <c r="L219" s="150" t="e">
        <f t="shared" si="63"/>
        <v>#DIV/0!</v>
      </c>
      <c r="M219" s="344">
        <f>M220+M221+M222+M223</f>
        <v>0</v>
      </c>
      <c r="N219" s="344">
        <f>N220+N221+N222+N223</f>
        <v>0</v>
      </c>
      <c r="O219" s="344">
        <f>O220+O221+O222+O223</f>
        <v>0</v>
      </c>
      <c r="P219" s="341">
        <f t="shared" si="64"/>
        <v>0</v>
      </c>
      <c r="Q219" s="342" t="e">
        <f t="shared" si="65"/>
        <v>#DIV/0!</v>
      </c>
    </row>
    <row r="220" spans="1:17" s="47" customFormat="1" ht="22.5" customHeight="1" hidden="1">
      <c r="A220" s="153" t="s">
        <v>507</v>
      </c>
      <c r="B220" s="178">
        <v>11523100</v>
      </c>
      <c r="C220" s="223">
        <f aca="true" t="shared" si="68" ref="C220:E223">H220+M220</f>
        <v>0</v>
      </c>
      <c r="D220" s="223">
        <f t="shared" si="68"/>
        <v>0</v>
      </c>
      <c r="E220" s="223">
        <f t="shared" si="68"/>
        <v>0</v>
      </c>
      <c r="F220" s="224">
        <f t="shared" si="60"/>
        <v>0</v>
      </c>
      <c r="G220" s="151" t="e">
        <f t="shared" si="61"/>
        <v>#DIV/0!</v>
      </c>
      <c r="H220" s="202"/>
      <c r="I220" s="202"/>
      <c r="J220" s="202"/>
      <c r="K220" s="203">
        <f t="shared" si="62"/>
        <v>0</v>
      </c>
      <c r="L220" s="151" t="e">
        <f t="shared" si="63"/>
        <v>#DIV/0!</v>
      </c>
      <c r="M220" s="343"/>
      <c r="N220" s="343"/>
      <c r="O220" s="343"/>
      <c r="P220" s="337">
        <f t="shared" si="64"/>
        <v>0</v>
      </c>
      <c r="Q220" s="338" t="e">
        <f t="shared" si="65"/>
        <v>#DIV/0!</v>
      </c>
    </row>
    <row r="221" spans="1:17" s="47" customFormat="1" ht="22.5" customHeight="1" hidden="1">
      <c r="A221" s="153" t="s">
        <v>508</v>
      </c>
      <c r="B221" s="178">
        <v>11523200</v>
      </c>
      <c r="C221" s="223">
        <f t="shared" si="68"/>
        <v>0</v>
      </c>
      <c r="D221" s="223">
        <f t="shared" si="68"/>
        <v>0</v>
      </c>
      <c r="E221" s="223">
        <f t="shared" si="68"/>
        <v>0</v>
      </c>
      <c r="F221" s="224">
        <f t="shared" si="60"/>
        <v>0</v>
      </c>
      <c r="G221" s="151" t="e">
        <f t="shared" si="61"/>
        <v>#DIV/0!</v>
      </c>
      <c r="H221" s="202"/>
      <c r="I221" s="202"/>
      <c r="J221" s="202"/>
      <c r="K221" s="203">
        <f t="shared" si="62"/>
        <v>0</v>
      </c>
      <c r="L221" s="151" t="e">
        <f t="shared" si="63"/>
        <v>#DIV/0!</v>
      </c>
      <c r="M221" s="343"/>
      <c r="N221" s="343"/>
      <c r="O221" s="343"/>
      <c r="P221" s="337">
        <f t="shared" si="64"/>
        <v>0</v>
      </c>
      <c r="Q221" s="338" t="e">
        <f t="shared" si="65"/>
        <v>#DIV/0!</v>
      </c>
    </row>
    <row r="222" spans="1:17" s="47" customFormat="1" ht="22.5" customHeight="1" hidden="1">
      <c r="A222" s="153" t="s">
        <v>509</v>
      </c>
      <c r="B222" s="178">
        <v>11523300</v>
      </c>
      <c r="C222" s="223">
        <f t="shared" si="68"/>
        <v>0</v>
      </c>
      <c r="D222" s="223">
        <f t="shared" si="68"/>
        <v>0</v>
      </c>
      <c r="E222" s="223">
        <f t="shared" si="68"/>
        <v>0</v>
      </c>
      <c r="F222" s="224">
        <f t="shared" si="60"/>
        <v>0</v>
      </c>
      <c r="G222" s="151" t="e">
        <f t="shared" si="61"/>
        <v>#DIV/0!</v>
      </c>
      <c r="H222" s="202"/>
      <c r="I222" s="202"/>
      <c r="J222" s="202"/>
      <c r="K222" s="203">
        <f t="shared" si="62"/>
        <v>0</v>
      </c>
      <c r="L222" s="151" t="e">
        <f t="shared" si="63"/>
        <v>#DIV/0!</v>
      </c>
      <c r="M222" s="343"/>
      <c r="N222" s="343"/>
      <c r="O222" s="343"/>
      <c r="P222" s="337">
        <f t="shared" si="64"/>
        <v>0</v>
      </c>
      <c r="Q222" s="338" t="e">
        <f t="shared" si="65"/>
        <v>#DIV/0!</v>
      </c>
    </row>
    <row r="223" spans="1:17" s="47" customFormat="1" ht="22.5" customHeight="1" hidden="1">
      <c r="A223" s="153" t="s">
        <v>510</v>
      </c>
      <c r="B223" s="178">
        <v>11523400</v>
      </c>
      <c r="C223" s="223">
        <f t="shared" si="68"/>
        <v>0</v>
      </c>
      <c r="D223" s="223">
        <f t="shared" si="68"/>
        <v>0</v>
      </c>
      <c r="E223" s="223">
        <f t="shared" si="68"/>
        <v>0</v>
      </c>
      <c r="F223" s="224">
        <f t="shared" si="60"/>
        <v>0</v>
      </c>
      <c r="G223" s="151" t="e">
        <f t="shared" si="61"/>
        <v>#DIV/0!</v>
      </c>
      <c r="H223" s="202"/>
      <c r="I223" s="202"/>
      <c r="J223" s="202"/>
      <c r="K223" s="203">
        <f t="shared" si="62"/>
        <v>0</v>
      </c>
      <c r="L223" s="151" t="e">
        <f t="shared" si="63"/>
        <v>#DIV/0!</v>
      </c>
      <c r="M223" s="343"/>
      <c r="N223" s="343"/>
      <c r="O223" s="343"/>
      <c r="P223" s="337">
        <f t="shared" si="64"/>
        <v>0</v>
      </c>
      <c r="Q223" s="338" t="e">
        <f t="shared" si="65"/>
        <v>#DIV/0!</v>
      </c>
    </row>
    <row r="224" spans="1:17" s="47" customFormat="1" ht="45.75" customHeight="1">
      <c r="A224" s="152" t="s">
        <v>511</v>
      </c>
      <c r="B224" s="176">
        <v>11524</v>
      </c>
      <c r="C224" s="348">
        <f>C225+C226+C227+C228</f>
        <v>0</v>
      </c>
      <c r="D224" s="348">
        <f>D225+D226+D227+D228</f>
        <v>0</v>
      </c>
      <c r="E224" s="227">
        <f>E225+E226+E227+E228</f>
        <v>139429.323</v>
      </c>
      <c r="F224" s="226">
        <f t="shared" si="60"/>
        <v>139429.323</v>
      </c>
      <c r="G224" s="342" t="e">
        <f t="shared" si="61"/>
        <v>#DIV/0!</v>
      </c>
      <c r="H224" s="344">
        <f>H225+H226+H227+H228</f>
        <v>0</v>
      </c>
      <c r="I224" s="344">
        <f>I225+I226+I227+I228</f>
        <v>0</v>
      </c>
      <c r="J224" s="206">
        <f>J225+J226+J227+J228</f>
        <v>139429.323</v>
      </c>
      <c r="K224" s="205">
        <f t="shared" si="62"/>
        <v>139429.323</v>
      </c>
      <c r="L224" s="342" t="e">
        <f t="shared" si="63"/>
        <v>#DIV/0!</v>
      </c>
      <c r="M224" s="344">
        <f>M225+M226+M227+M228</f>
        <v>0</v>
      </c>
      <c r="N224" s="344">
        <f>N225+N226+N227+N228</f>
        <v>0</v>
      </c>
      <c r="O224" s="344">
        <f>O225+O226+O227+O228</f>
        <v>0</v>
      </c>
      <c r="P224" s="341">
        <f t="shared" si="64"/>
        <v>0</v>
      </c>
      <c r="Q224" s="342" t="e">
        <f t="shared" si="65"/>
        <v>#DIV/0!</v>
      </c>
    </row>
    <row r="225" spans="1:17" s="47" customFormat="1" ht="22.5" customHeight="1" hidden="1">
      <c r="A225" s="153" t="s">
        <v>512</v>
      </c>
      <c r="B225" s="178">
        <v>11524100</v>
      </c>
      <c r="C225" s="339">
        <f aca="true" t="shared" si="69" ref="C225:E228">H225+M225</f>
        <v>0</v>
      </c>
      <c r="D225" s="339">
        <f t="shared" si="69"/>
        <v>0</v>
      </c>
      <c r="E225" s="223">
        <f t="shared" si="69"/>
        <v>17504.003</v>
      </c>
      <c r="F225" s="224">
        <f t="shared" si="60"/>
        <v>17504.003</v>
      </c>
      <c r="G225" s="338" t="e">
        <f t="shared" si="61"/>
        <v>#DIV/0!</v>
      </c>
      <c r="H225" s="346"/>
      <c r="I225" s="346"/>
      <c r="J225" s="202">
        <v>17504.003</v>
      </c>
      <c r="K225" s="203">
        <f t="shared" si="62"/>
        <v>17504.003</v>
      </c>
      <c r="L225" s="338" t="e">
        <f t="shared" si="63"/>
        <v>#DIV/0!</v>
      </c>
      <c r="M225" s="208"/>
      <c r="N225" s="208"/>
      <c r="O225" s="208"/>
      <c r="P225" s="203">
        <f t="shared" si="64"/>
        <v>0</v>
      </c>
      <c r="Q225" s="151" t="e">
        <f t="shared" si="65"/>
        <v>#DIV/0!</v>
      </c>
    </row>
    <row r="226" spans="1:17" s="47" customFormat="1" ht="22.5" customHeight="1" hidden="1">
      <c r="A226" s="153" t="s">
        <v>513</v>
      </c>
      <c r="B226" s="178">
        <v>11524200</v>
      </c>
      <c r="C226" s="339">
        <f t="shared" si="69"/>
        <v>0</v>
      </c>
      <c r="D226" s="339">
        <f t="shared" si="69"/>
        <v>0</v>
      </c>
      <c r="E226" s="223">
        <f t="shared" si="69"/>
        <v>5923.527</v>
      </c>
      <c r="F226" s="224">
        <f t="shared" si="60"/>
        <v>5923.527</v>
      </c>
      <c r="G226" s="338" t="e">
        <f t="shared" si="61"/>
        <v>#DIV/0!</v>
      </c>
      <c r="H226" s="346"/>
      <c r="I226" s="346"/>
      <c r="J226" s="202">
        <v>5923.527</v>
      </c>
      <c r="K226" s="203">
        <f t="shared" si="62"/>
        <v>5923.527</v>
      </c>
      <c r="L226" s="338" t="e">
        <f t="shared" si="63"/>
        <v>#DIV/0!</v>
      </c>
      <c r="M226" s="208"/>
      <c r="N226" s="208"/>
      <c r="O226" s="208"/>
      <c r="P226" s="203">
        <f t="shared" si="64"/>
        <v>0</v>
      </c>
      <c r="Q226" s="151" t="e">
        <f t="shared" si="65"/>
        <v>#DIV/0!</v>
      </c>
    </row>
    <row r="227" spans="1:17" s="47" customFormat="1" ht="22.5" customHeight="1" hidden="1">
      <c r="A227" s="153" t="s">
        <v>514</v>
      </c>
      <c r="B227" s="178">
        <v>11524300</v>
      </c>
      <c r="C227" s="339">
        <f t="shared" si="69"/>
        <v>0</v>
      </c>
      <c r="D227" s="339">
        <f t="shared" si="69"/>
        <v>0</v>
      </c>
      <c r="E227" s="223">
        <f t="shared" si="69"/>
        <v>114387.384</v>
      </c>
      <c r="F227" s="224">
        <f t="shared" si="60"/>
        <v>114387.384</v>
      </c>
      <c r="G227" s="338" t="e">
        <f t="shared" si="61"/>
        <v>#DIV/0!</v>
      </c>
      <c r="H227" s="346"/>
      <c r="I227" s="346"/>
      <c r="J227" s="202">
        <v>114387.384</v>
      </c>
      <c r="K227" s="203">
        <f t="shared" si="62"/>
        <v>114387.384</v>
      </c>
      <c r="L227" s="338" t="e">
        <f t="shared" si="63"/>
        <v>#DIV/0!</v>
      </c>
      <c r="M227" s="208"/>
      <c r="N227" s="208"/>
      <c r="O227" s="208"/>
      <c r="P227" s="203">
        <f t="shared" si="64"/>
        <v>0</v>
      </c>
      <c r="Q227" s="151" t="e">
        <f t="shared" si="65"/>
        <v>#DIV/0!</v>
      </c>
    </row>
    <row r="228" spans="1:17" s="47" customFormat="1" ht="22.5" customHeight="1" hidden="1">
      <c r="A228" s="153" t="s">
        <v>515</v>
      </c>
      <c r="B228" s="178">
        <v>11524400</v>
      </c>
      <c r="C228" s="339">
        <f t="shared" si="69"/>
        <v>0</v>
      </c>
      <c r="D228" s="339">
        <f t="shared" si="69"/>
        <v>0</v>
      </c>
      <c r="E228" s="223">
        <f t="shared" si="69"/>
        <v>1614.409</v>
      </c>
      <c r="F228" s="224">
        <f t="shared" si="60"/>
        <v>1614.409</v>
      </c>
      <c r="G228" s="338" t="e">
        <f t="shared" si="61"/>
        <v>#DIV/0!</v>
      </c>
      <c r="H228" s="346"/>
      <c r="I228" s="346"/>
      <c r="J228" s="202">
        <v>1614.409</v>
      </c>
      <c r="K228" s="203">
        <f t="shared" si="62"/>
        <v>1614.409</v>
      </c>
      <c r="L228" s="338" t="e">
        <f t="shared" si="63"/>
        <v>#DIV/0!</v>
      </c>
      <c r="M228" s="208"/>
      <c r="N228" s="208"/>
      <c r="O228" s="208"/>
      <c r="P228" s="203">
        <f t="shared" si="64"/>
        <v>0</v>
      </c>
      <c r="Q228" s="151" t="e">
        <f t="shared" si="65"/>
        <v>#DIV/0!</v>
      </c>
    </row>
    <row r="229" spans="1:17" s="47" customFormat="1" ht="35.25" customHeight="1" hidden="1">
      <c r="A229" s="152" t="s">
        <v>541</v>
      </c>
      <c r="B229" s="176">
        <v>11525</v>
      </c>
      <c r="C229" s="348">
        <f>C230</f>
        <v>0</v>
      </c>
      <c r="D229" s="348">
        <f>D230</f>
        <v>0</v>
      </c>
      <c r="E229" s="227">
        <f>E230</f>
        <v>0</v>
      </c>
      <c r="F229" s="226">
        <f t="shared" si="60"/>
        <v>0</v>
      </c>
      <c r="G229" s="342" t="e">
        <f t="shared" si="61"/>
        <v>#DIV/0!</v>
      </c>
      <c r="H229" s="344">
        <f>H230</f>
        <v>0</v>
      </c>
      <c r="I229" s="344">
        <f>I230</f>
        <v>0</v>
      </c>
      <c r="J229" s="206">
        <f>J230</f>
        <v>0</v>
      </c>
      <c r="K229" s="205">
        <f t="shared" si="62"/>
        <v>0</v>
      </c>
      <c r="L229" s="342" t="e">
        <f t="shared" si="63"/>
        <v>#DIV/0!</v>
      </c>
      <c r="M229" s="206">
        <f>M230</f>
        <v>0</v>
      </c>
      <c r="N229" s="206">
        <f>N230</f>
        <v>0</v>
      </c>
      <c r="O229" s="206">
        <f>O230</f>
        <v>0</v>
      </c>
      <c r="P229" s="205">
        <f t="shared" si="64"/>
        <v>0</v>
      </c>
      <c r="Q229" s="150" t="e">
        <f t="shared" si="65"/>
        <v>#DIV/0!</v>
      </c>
    </row>
    <row r="230" spans="1:17" s="47" customFormat="1" ht="36.75" customHeight="1" hidden="1">
      <c r="A230" s="153" t="s">
        <v>542</v>
      </c>
      <c r="B230" s="178">
        <v>11525300</v>
      </c>
      <c r="C230" s="339">
        <f>H230+M230</f>
        <v>0</v>
      </c>
      <c r="D230" s="339">
        <f>I230+N230</f>
        <v>0</v>
      </c>
      <c r="E230" s="223">
        <f>J230+O230</f>
        <v>0</v>
      </c>
      <c r="F230" s="224">
        <f t="shared" si="60"/>
        <v>0</v>
      </c>
      <c r="G230" s="338" t="e">
        <f t="shared" si="61"/>
        <v>#DIV/0!</v>
      </c>
      <c r="H230" s="346"/>
      <c r="I230" s="346"/>
      <c r="J230" s="202"/>
      <c r="K230" s="203">
        <f t="shared" si="62"/>
        <v>0</v>
      </c>
      <c r="L230" s="338" t="e">
        <f t="shared" si="63"/>
        <v>#DIV/0!</v>
      </c>
      <c r="M230" s="208"/>
      <c r="N230" s="208"/>
      <c r="O230" s="208"/>
      <c r="P230" s="203">
        <f t="shared" si="64"/>
        <v>0</v>
      </c>
      <c r="Q230" s="151" t="e">
        <f t="shared" si="65"/>
        <v>#DIV/0!</v>
      </c>
    </row>
    <row r="231" spans="1:17" s="44" customFormat="1" ht="22.5" customHeight="1">
      <c r="A231" s="66" t="s">
        <v>340</v>
      </c>
      <c r="B231" s="65">
        <v>116</v>
      </c>
      <c r="C231" s="348">
        <f aca="true" t="shared" si="70" ref="C231:E232">C232</f>
        <v>0</v>
      </c>
      <c r="D231" s="348">
        <f t="shared" si="70"/>
        <v>0</v>
      </c>
      <c r="E231" s="227">
        <f t="shared" si="70"/>
        <v>2392.316</v>
      </c>
      <c r="F231" s="226">
        <f t="shared" si="60"/>
        <v>2392.316</v>
      </c>
      <c r="G231" s="342" t="e">
        <f t="shared" si="61"/>
        <v>#DIV/0!</v>
      </c>
      <c r="H231" s="344">
        <f aca="true" t="shared" si="71" ref="H231:J232">H232</f>
        <v>0</v>
      </c>
      <c r="I231" s="344">
        <f t="shared" si="71"/>
        <v>0</v>
      </c>
      <c r="J231" s="206">
        <f t="shared" si="71"/>
        <v>2927.02</v>
      </c>
      <c r="K231" s="205">
        <f t="shared" si="62"/>
        <v>2927.02</v>
      </c>
      <c r="L231" s="342" t="e">
        <f t="shared" si="63"/>
        <v>#DIV/0!</v>
      </c>
      <c r="M231" s="344">
        <f aca="true" t="shared" si="72" ref="M231:O232">M232</f>
        <v>0</v>
      </c>
      <c r="N231" s="344">
        <f t="shared" si="72"/>
        <v>0</v>
      </c>
      <c r="O231" s="206">
        <f t="shared" si="72"/>
        <v>-534.704</v>
      </c>
      <c r="P231" s="205">
        <f t="shared" si="64"/>
        <v>-534.704</v>
      </c>
      <c r="Q231" s="342" t="e">
        <f t="shared" si="65"/>
        <v>#DIV/0!</v>
      </c>
    </row>
    <row r="232" spans="1:17" s="45" customFormat="1" ht="22.5" customHeight="1">
      <c r="A232" s="66" t="s">
        <v>340</v>
      </c>
      <c r="B232" s="65">
        <v>1161</v>
      </c>
      <c r="C232" s="348">
        <f t="shared" si="70"/>
        <v>0</v>
      </c>
      <c r="D232" s="348">
        <f t="shared" si="70"/>
        <v>0</v>
      </c>
      <c r="E232" s="227">
        <f t="shared" si="70"/>
        <v>2392.316</v>
      </c>
      <c r="F232" s="226">
        <f t="shared" si="60"/>
        <v>2392.316</v>
      </c>
      <c r="G232" s="342" t="e">
        <f t="shared" si="61"/>
        <v>#DIV/0!</v>
      </c>
      <c r="H232" s="344">
        <f t="shared" si="71"/>
        <v>0</v>
      </c>
      <c r="I232" s="344">
        <f t="shared" si="71"/>
        <v>0</v>
      </c>
      <c r="J232" s="206">
        <f t="shared" si="71"/>
        <v>2927.02</v>
      </c>
      <c r="K232" s="205">
        <f t="shared" si="62"/>
        <v>2927.02</v>
      </c>
      <c r="L232" s="342" t="e">
        <f t="shared" si="63"/>
        <v>#DIV/0!</v>
      </c>
      <c r="M232" s="344">
        <f t="shared" si="72"/>
        <v>0</v>
      </c>
      <c r="N232" s="344">
        <f t="shared" si="72"/>
        <v>0</v>
      </c>
      <c r="O232" s="206">
        <f t="shared" si="72"/>
        <v>-534.704</v>
      </c>
      <c r="P232" s="205">
        <f t="shared" si="64"/>
        <v>-534.704</v>
      </c>
      <c r="Q232" s="342" t="e">
        <f t="shared" si="65"/>
        <v>#DIV/0!</v>
      </c>
    </row>
    <row r="233" spans="1:17" s="46" customFormat="1" ht="22.5" customHeight="1">
      <c r="A233" s="66" t="s">
        <v>340</v>
      </c>
      <c r="B233" s="65">
        <v>11611</v>
      </c>
      <c r="C233" s="348">
        <f>C234+C235</f>
        <v>0</v>
      </c>
      <c r="D233" s="348">
        <f>D234+D235</f>
        <v>0</v>
      </c>
      <c r="E233" s="227">
        <f>E234+E235</f>
        <v>2392.316</v>
      </c>
      <c r="F233" s="226">
        <f t="shared" si="60"/>
        <v>2392.316</v>
      </c>
      <c r="G233" s="342" t="e">
        <f t="shared" si="61"/>
        <v>#DIV/0!</v>
      </c>
      <c r="H233" s="344">
        <f>H234+H235</f>
        <v>0</v>
      </c>
      <c r="I233" s="344">
        <f>I234+I235</f>
        <v>0</v>
      </c>
      <c r="J233" s="206">
        <f>J234+J235</f>
        <v>2927.02</v>
      </c>
      <c r="K233" s="205">
        <f t="shared" si="62"/>
        <v>2927.02</v>
      </c>
      <c r="L233" s="342" t="e">
        <f t="shared" si="63"/>
        <v>#DIV/0!</v>
      </c>
      <c r="M233" s="344">
        <f>M234+M235</f>
        <v>0</v>
      </c>
      <c r="N233" s="344">
        <f>N234+N235</f>
        <v>0</v>
      </c>
      <c r="O233" s="206">
        <f>O234+O235</f>
        <v>-534.704</v>
      </c>
      <c r="P233" s="205">
        <f t="shared" si="64"/>
        <v>-534.704</v>
      </c>
      <c r="Q233" s="342" t="e">
        <f t="shared" si="65"/>
        <v>#DIV/0!</v>
      </c>
    </row>
    <row r="234" spans="1:17" s="46" customFormat="1" ht="22.5" customHeight="1" hidden="1">
      <c r="A234" s="67" t="s">
        <v>516</v>
      </c>
      <c r="B234" s="56">
        <v>11611100</v>
      </c>
      <c r="C234" s="223">
        <f aca="true" t="shared" si="73" ref="C234:E235">H234+M234</f>
        <v>0</v>
      </c>
      <c r="D234" s="223">
        <f t="shared" si="73"/>
        <v>0</v>
      </c>
      <c r="E234" s="223">
        <f t="shared" si="73"/>
        <v>2927.02</v>
      </c>
      <c r="F234" s="224">
        <f t="shared" si="60"/>
        <v>2927.02</v>
      </c>
      <c r="G234" s="151" t="e">
        <f t="shared" si="61"/>
        <v>#DIV/0!</v>
      </c>
      <c r="H234" s="208"/>
      <c r="I234" s="208"/>
      <c r="J234" s="208">
        <v>2927.02</v>
      </c>
      <c r="K234" s="203">
        <f t="shared" si="62"/>
        <v>2927.02</v>
      </c>
      <c r="L234" s="151" t="e">
        <f t="shared" si="63"/>
        <v>#DIV/0!</v>
      </c>
      <c r="M234" s="208"/>
      <c r="N234" s="208"/>
      <c r="O234" s="208"/>
      <c r="P234" s="203">
        <f t="shared" si="64"/>
        <v>0</v>
      </c>
      <c r="Q234" s="151" t="e">
        <f t="shared" si="65"/>
        <v>#DIV/0!</v>
      </c>
    </row>
    <row r="235" spans="1:17" s="46" customFormat="1" ht="22.5" customHeight="1" hidden="1">
      <c r="A235" s="67" t="s">
        <v>517</v>
      </c>
      <c r="B235" s="56">
        <v>11611200</v>
      </c>
      <c r="C235" s="223">
        <f t="shared" si="73"/>
        <v>0</v>
      </c>
      <c r="D235" s="223">
        <f t="shared" si="73"/>
        <v>0</v>
      </c>
      <c r="E235" s="223">
        <f t="shared" si="73"/>
        <v>-534.704</v>
      </c>
      <c r="F235" s="224">
        <f t="shared" si="60"/>
        <v>-534.704</v>
      </c>
      <c r="G235" s="151" t="e">
        <f t="shared" si="61"/>
        <v>#DIV/0!</v>
      </c>
      <c r="H235" s="208"/>
      <c r="I235" s="208"/>
      <c r="J235" s="208"/>
      <c r="K235" s="203">
        <f t="shared" si="62"/>
        <v>0</v>
      </c>
      <c r="L235" s="151" t="e">
        <f t="shared" si="63"/>
        <v>#DIV/0!</v>
      </c>
      <c r="M235" s="208"/>
      <c r="N235" s="208"/>
      <c r="O235" s="208">
        <v>-534.704</v>
      </c>
      <c r="P235" s="203">
        <f t="shared" si="64"/>
        <v>-534.704</v>
      </c>
      <c r="Q235" s="151" t="e">
        <f t="shared" si="65"/>
        <v>#DIV/0!</v>
      </c>
    </row>
    <row r="236" spans="1:17" s="46" customFormat="1" ht="22.5" customHeight="1">
      <c r="A236" s="66" t="s">
        <v>522</v>
      </c>
      <c r="B236" s="65">
        <v>12</v>
      </c>
      <c r="C236" s="348">
        <f aca="true" t="shared" si="74" ref="C236:E238">C237</f>
        <v>0</v>
      </c>
      <c r="D236" s="227">
        <f t="shared" si="74"/>
        <v>2442745.3</v>
      </c>
      <c r="E236" s="227">
        <f t="shared" si="74"/>
        <v>2412533.197</v>
      </c>
      <c r="F236" s="226">
        <f t="shared" si="60"/>
        <v>-30212.102999999654</v>
      </c>
      <c r="G236" s="150">
        <f t="shared" si="61"/>
        <v>98.7631906199963</v>
      </c>
      <c r="H236" s="344">
        <f aca="true" t="shared" si="75" ref="H236:J238">H237</f>
        <v>0</v>
      </c>
      <c r="I236" s="206">
        <f t="shared" si="75"/>
        <v>2442745.3</v>
      </c>
      <c r="J236" s="206">
        <f t="shared" si="75"/>
        <v>2412533.197</v>
      </c>
      <c r="K236" s="205">
        <f t="shared" si="62"/>
        <v>-30212.102999999654</v>
      </c>
      <c r="L236" s="150">
        <f t="shared" si="63"/>
        <v>98.7631906199963</v>
      </c>
      <c r="M236" s="344">
        <f aca="true" t="shared" si="76" ref="M236:O238">M237</f>
        <v>0</v>
      </c>
      <c r="N236" s="344">
        <f t="shared" si="76"/>
        <v>0</v>
      </c>
      <c r="O236" s="344">
        <f t="shared" si="76"/>
        <v>0</v>
      </c>
      <c r="P236" s="341">
        <f t="shared" si="64"/>
        <v>0</v>
      </c>
      <c r="Q236" s="342" t="e">
        <f t="shared" si="65"/>
        <v>#DIV/0!</v>
      </c>
    </row>
    <row r="237" spans="1:17" s="46" customFormat="1" ht="22.5" customHeight="1">
      <c r="A237" s="66" t="s">
        <v>523</v>
      </c>
      <c r="B237" s="65">
        <v>122</v>
      </c>
      <c r="C237" s="348">
        <f t="shared" si="74"/>
        <v>0</v>
      </c>
      <c r="D237" s="227">
        <f t="shared" si="74"/>
        <v>2442745.3</v>
      </c>
      <c r="E237" s="227">
        <f t="shared" si="74"/>
        <v>2412533.197</v>
      </c>
      <c r="F237" s="226">
        <f t="shared" si="60"/>
        <v>-30212.102999999654</v>
      </c>
      <c r="G237" s="150">
        <f t="shared" si="61"/>
        <v>98.7631906199963</v>
      </c>
      <c r="H237" s="344">
        <f t="shared" si="75"/>
        <v>0</v>
      </c>
      <c r="I237" s="206">
        <f t="shared" si="75"/>
        <v>2442745.3</v>
      </c>
      <c r="J237" s="206">
        <f t="shared" si="75"/>
        <v>2412533.197</v>
      </c>
      <c r="K237" s="205">
        <f t="shared" si="62"/>
        <v>-30212.102999999654</v>
      </c>
      <c r="L237" s="150">
        <f t="shared" si="63"/>
        <v>98.7631906199963</v>
      </c>
      <c r="M237" s="344">
        <f t="shared" si="76"/>
        <v>0</v>
      </c>
      <c r="N237" s="344">
        <f t="shared" si="76"/>
        <v>0</v>
      </c>
      <c r="O237" s="344">
        <f t="shared" si="76"/>
        <v>0</v>
      </c>
      <c r="P237" s="341">
        <f t="shared" si="64"/>
        <v>0</v>
      </c>
      <c r="Q237" s="342" t="e">
        <f t="shared" si="65"/>
        <v>#DIV/0!</v>
      </c>
    </row>
    <row r="238" spans="1:17" s="46" customFormat="1" ht="22.5" customHeight="1">
      <c r="A238" s="66" t="s">
        <v>524</v>
      </c>
      <c r="B238" s="65">
        <v>1223</v>
      </c>
      <c r="C238" s="348">
        <f t="shared" si="74"/>
        <v>0</v>
      </c>
      <c r="D238" s="227">
        <f t="shared" si="74"/>
        <v>2442745.3</v>
      </c>
      <c r="E238" s="227">
        <f t="shared" si="74"/>
        <v>2412533.197</v>
      </c>
      <c r="F238" s="226">
        <f t="shared" si="60"/>
        <v>-30212.102999999654</v>
      </c>
      <c r="G238" s="150">
        <f t="shared" si="61"/>
        <v>98.7631906199963</v>
      </c>
      <c r="H238" s="344">
        <f t="shared" si="75"/>
        <v>0</v>
      </c>
      <c r="I238" s="206">
        <f t="shared" si="75"/>
        <v>2442745.3</v>
      </c>
      <c r="J238" s="206">
        <f t="shared" si="75"/>
        <v>2412533.197</v>
      </c>
      <c r="K238" s="205">
        <f t="shared" si="62"/>
        <v>-30212.102999999654</v>
      </c>
      <c r="L238" s="150">
        <f t="shared" si="63"/>
        <v>98.7631906199963</v>
      </c>
      <c r="M238" s="344">
        <f t="shared" si="76"/>
        <v>0</v>
      </c>
      <c r="N238" s="344">
        <f t="shared" si="76"/>
        <v>0</v>
      </c>
      <c r="O238" s="344">
        <f t="shared" si="76"/>
        <v>0</v>
      </c>
      <c r="P238" s="341">
        <f t="shared" si="64"/>
        <v>0</v>
      </c>
      <c r="Q238" s="342" t="e">
        <f t="shared" si="65"/>
        <v>#DIV/0!</v>
      </c>
    </row>
    <row r="239" spans="1:17" s="46" customFormat="1" ht="22.5" customHeight="1">
      <c r="A239" s="67" t="s">
        <v>524</v>
      </c>
      <c r="B239" s="56">
        <v>12230100</v>
      </c>
      <c r="C239" s="339">
        <f>H239+M239</f>
        <v>0</v>
      </c>
      <c r="D239" s="223">
        <f>I239+N239</f>
        <v>2442745.3</v>
      </c>
      <c r="E239" s="223">
        <f>J239+O239</f>
        <v>2412533.197</v>
      </c>
      <c r="F239" s="224">
        <f t="shared" si="60"/>
        <v>-30212.102999999654</v>
      </c>
      <c r="G239" s="151">
        <f t="shared" si="61"/>
        <v>98.7631906199963</v>
      </c>
      <c r="H239" s="208"/>
      <c r="I239" s="208">
        <v>2442745.3</v>
      </c>
      <c r="J239" s="208">
        <v>2412533.197</v>
      </c>
      <c r="K239" s="203">
        <f t="shared" si="62"/>
        <v>-30212.102999999654</v>
      </c>
      <c r="L239" s="151">
        <f t="shared" si="63"/>
        <v>98.7631906199963</v>
      </c>
      <c r="M239" s="343"/>
      <c r="N239" s="343"/>
      <c r="O239" s="343"/>
      <c r="P239" s="337">
        <f t="shared" si="64"/>
        <v>0</v>
      </c>
      <c r="Q239" s="338" t="e">
        <f t="shared" si="65"/>
        <v>#DIV/0!</v>
      </c>
    </row>
    <row r="240" spans="1:17" s="50" customFormat="1" ht="22.5" customHeight="1">
      <c r="A240" s="66" t="s">
        <v>63</v>
      </c>
      <c r="B240" s="65">
        <v>13</v>
      </c>
      <c r="C240" s="227">
        <f>C241+C250</f>
        <v>12935863.6</v>
      </c>
      <c r="D240" s="227">
        <f>D241+D250</f>
        <v>14820952.6</v>
      </c>
      <c r="E240" s="227">
        <f>E241+E250</f>
        <v>13466500.194</v>
      </c>
      <c r="F240" s="226">
        <f t="shared" si="60"/>
        <v>-1354452.4059999995</v>
      </c>
      <c r="G240" s="150">
        <f t="shared" si="61"/>
        <v>90.8612324554631</v>
      </c>
      <c r="H240" s="206">
        <f>H241+H250</f>
        <v>12935863.6</v>
      </c>
      <c r="I240" s="206">
        <f>I241+I250</f>
        <v>14820952.6</v>
      </c>
      <c r="J240" s="206">
        <f>J241+J250</f>
        <v>13468100.194</v>
      </c>
      <c r="K240" s="205">
        <f t="shared" si="62"/>
        <v>-1352852.4059999995</v>
      </c>
      <c r="L240" s="150">
        <f t="shared" si="63"/>
        <v>90.87202798287069</v>
      </c>
      <c r="M240" s="206">
        <f>M241+M250</f>
        <v>5268161</v>
      </c>
      <c r="N240" s="206">
        <f>N241+N250</f>
        <v>5465621.8</v>
      </c>
      <c r="O240" s="206">
        <f>O241+O250</f>
        <v>5454887.171</v>
      </c>
      <c r="P240" s="205">
        <f t="shared" si="64"/>
        <v>-10734.628999999724</v>
      </c>
      <c r="Q240" s="150">
        <f t="shared" si="65"/>
        <v>99.80359729610271</v>
      </c>
    </row>
    <row r="241" spans="1:17" s="44" customFormat="1" ht="22.5" customHeight="1">
      <c r="A241" s="66" t="s">
        <v>64</v>
      </c>
      <c r="B241" s="65">
        <v>131</v>
      </c>
      <c r="C241" s="227">
        <f>C242+C246</f>
        <v>12935863.6</v>
      </c>
      <c r="D241" s="227">
        <f>D242+D246</f>
        <v>14820952.6</v>
      </c>
      <c r="E241" s="227">
        <f>E242+E246</f>
        <v>13466500.194</v>
      </c>
      <c r="F241" s="226">
        <f t="shared" si="60"/>
        <v>-1354452.4059999995</v>
      </c>
      <c r="G241" s="150">
        <f t="shared" si="61"/>
        <v>90.8612324554631</v>
      </c>
      <c r="H241" s="206">
        <f>H242+H246</f>
        <v>12935863.6</v>
      </c>
      <c r="I241" s="206">
        <f>I242+I246</f>
        <v>14820952.6</v>
      </c>
      <c r="J241" s="206">
        <f>J242+J246</f>
        <v>13466500.194</v>
      </c>
      <c r="K241" s="205">
        <f t="shared" si="62"/>
        <v>-1354452.4059999995</v>
      </c>
      <c r="L241" s="150">
        <f t="shared" si="63"/>
        <v>90.8612324554631</v>
      </c>
      <c r="M241" s="206"/>
      <c r="N241" s="206"/>
      <c r="O241" s="206"/>
      <c r="P241" s="337">
        <f t="shared" si="64"/>
        <v>0</v>
      </c>
      <c r="Q241" s="338" t="e">
        <f t="shared" si="65"/>
        <v>#DIV/0!</v>
      </c>
    </row>
    <row r="242" spans="1:17" s="44" customFormat="1" ht="22.5" customHeight="1">
      <c r="A242" s="66" t="s">
        <v>65</v>
      </c>
      <c r="B242" s="65">
        <v>1311</v>
      </c>
      <c r="C242" s="227">
        <f>C243</f>
        <v>3424170</v>
      </c>
      <c r="D242" s="227">
        <f>D243</f>
        <v>7972076</v>
      </c>
      <c r="E242" s="227">
        <f>E243</f>
        <v>5018926.1</v>
      </c>
      <c r="F242" s="226">
        <f t="shared" si="60"/>
        <v>-2953149.9000000004</v>
      </c>
      <c r="G242" s="150">
        <f t="shared" si="61"/>
        <v>62.95632530347176</v>
      </c>
      <c r="H242" s="206">
        <f>H243</f>
        <v>3424170</v>
      </c>
      <c r="I242" s="206">
        <f>I243</f>
        <v>7972076</v>
      </c>
      <c r="J242" s="206">
        <f>J243</f>
        <v>5018926.1</v>
      </c>
      <c r="K242" s="205">
        <f t="shared" si="62"/>
        <v>-2953149.9000000004</v>
      </c>
      <c r="L242" s="150">
        <f t="shared" si="63"/>
        <v>62.95632530347176</v>
      </c>
      <c r="M242" s="206"/>
      <c r="N242" s="206"/>
      <c r="O242" s="206"/>
      <c r="P242" s="337">
        <f t="shared" si="64"/>
        <v>0</v>
      </c>
      <c r="Q242" s="338" t="e">
        <f t="shared" si="65"/>
        <v>#DIV/0!</v>
      </c>
    </row>
    <row r="243" spans="1:17" s="46" customFormat="1" ht="22.5" customHeight="1">
      <c r="A243" s="66" t="s">
        <v>65</v>
      </c>
      <c r="B243" s="65">
        <v>13111</v>
      </c>
      <c r="C243" s="228">
        <f aca="true" t="shared" si="77" ref="C243:D245">H243+M243</f>
        <v>3424170</v>
      </c>
      <c r="D243" s="228">
        <f t="shared" si="77"/>
        <v>7972076</v>
      </c>
      <c r="E243" s="227">
        <f>E244+E245</f>
        <v>5018926.1</v>
      </c>
      <c r="F243" s="226">
        <f t="shared" si="60"/>
        <v>-2953149.9000000004</v>
      </c>
      <c r="G243" s="150">
        <f t="shared" si="61"/>
        <v>62.95632530347176</v>
      </c>
      <c r="H243" s="206">
        <f>H244+H245</f>
        <v>3424170</v>
      </c>
      <c r="I243" s="206">
        <f>I244+I245</f>
        <v>7972076</v>
      </c>
      <c r="J243" s="206">
        <f>J244+J245</f>
        <v>5018926.1</v>
      </c>
      <c r="K243" s="205">
        <f t="shared" si="62"/>
        <v>-2953149.9000000004</v>
      </c>
      <c r="L243" s="150">
        <f t="shared" si="63"/>
        <v>62.95632530347176</v>
      </c>
      <c r="M243" s="206"/>
      <c r="N243" s="206"/>
      <c r="O243" s="206"/>
      <c r="P243" s="337">
        <f t="shared" si="64"/>
        <v>0</v>
      </c>
      <c r="Q243" s="338" t="e">
        <f t="shared" si="65"/>
        <v>#DIV/0!</v>
      </c>
    </row>
    <row r="244" spans="1:17" s="47" customFormat="1" ht="22.5" customHeight="1">
      <c r="A244" s="67" t="s">
        <v>66</v>
      </c>
      <c r="B244" s="56">
        <v>13111100</v>
      </c>
      <c r="C244" s="223">
        <f t="shared" si="77"/>
        <v>3424170</v>
      </c>
      <c r="D244" s="223">
        <f t="shared" si="77"/>
        <v>7972076</v>
      </c>
      <c r="E244" s="223">
        <f>J244+O244</f>
        <v>5018926.1</v>
      </c>
      <c r="F244" s="224">
        <f t="shared" si="60"/>
        <v>-2953149.9000000004</v>
      </c>
      <c r="G244" s="151">
        <f t="shared" si="61"/>
        <v>62.95632530347176</v>
      </c>
      <c r="H244" s="208">
        <v>3424170</v>
      </c>
      <c r="I244" s="208">
        <v>7972076</v>
      </c>
      <c r="J244" s="208">
        <f>3946795.8+1072130.3</f>
        <v>5018926.1</v>
      </c>
      <c r="K244" s="203">
        <f t="shared" si="62"/>
        <v>-2953149.9000000004</v>
      </c>
      <c r="L244" s="151">
        <f t="shared" si="63"/>
        <v>62.95632530347176</v>
      </c>
      <c r="M244" s="208"/>
      <c r="N244" s="208"/>
      <c r="O244" s="208"/>
      <c r="P244" s="337">
        <f t="shared" si="64"/>
        <v>0</v>
      </c>
      <c r="Q244" s="338" t="e">
        <f t="shared" si="65"/>
        <v>#DIV/0!</v>
      </c>
    </row>
    <row r="245" spans="1:17" s="47" customFormat="1" ht="22.5" customHeight="1" hidden="1">
      <c r="A245" s="67" t="s">
        <v>67</v>
      </c>
      <c r="B245" s="56">
        <v>13111200</v>
      </c>
      <c r="C245" s="223">
        <f t="shared" si="77"/>
        <v>0</v>
      </c>
      <c r="D245" s="223">
        <f t="shared" si="77"/>
        <v>0</v>
      </c>
      <c r="E245" s="223">
        <f>J245+O245</f>
        <v>0</v>
      </c>
      <c r="F245" s="224">
        <f t="shared" si="60"/>
        <v>0</v>
      </c>
      <c r="G245" s="151" t="e">
        <f t="shared" si="61"/>
        <v>#DIV/0!</v>
      </c>
      <c r="H245" s="208"/>
      <c r="I245" s="208"/>
      <c r="J245" s="208"/>
      <c r="K245" s="203">
        <f t="shared" si="62"/>
        <v>0</v>
      </c>
      <c r="L245" s="151" t="e">
        <f t="shared" si="63"/>
        <v>#DIV/0!</v>
      </c>
      <c r="M245" s="208"/>
      <c r="N245" s="208"/>
      <c r="O245" s="208"/>
      <c r="P245" s="337">
        <f t="shared" si="64"/>
        <v>0</v>
      </c>
      <c r="Q245" s="338" t="e">
        <f t="shared" si="65"/>
        <v>#DIV/0!</v>
      </c>
    </row>
    <row r="246" spans="1:17" s="44" customFormat="1" ht="22.5" customHeight="1">
      <c r="A246" s="66" t="s">
        <v>68</v>
      </c>
      <c r="B246" s="65">
        <v>1312</v>
      </c>
      <c r="C246" s="227">
        <f>C247</f>
        <v>9511693.6</v>
      </c>
      <c r="D246" s="227">
        <f>D247</f>
        <v>6848876.6</v>
      </c>
      <c r="E246" s="227">
        <f>E247</f>
        <v>8447574.094</v>
      </c>
      <c r="F246" s="226">
        <f t="shared" si="60"/>
        <v>1598697.4940000009</v>
      </c>
      <c r="G246" s="150">
        <f t="shared" si="61"/>
        <v>123.34247771379032</v>
      </c>
      <c r="H246" s="206">
        <f>H247</f>
        <v>9511693.6</v>
      </c>
      <c r="I246" s="206">
        <f>I247</f>
        <v>6848876.6</v>
      </c>
      <c r="J246" s="206">
        <f>J247</f>
        <v>8447574.094</v>
      </c>
      <c r="K246" s="205">
        <f t="shared" si="62"/>
        <v>1598697.4940000009</v>
      </c>
      <c r="L246" s="150">
        <f t="shared" si="63"/>
        <v>123.34247771379032</v>
      </c>
      <c r="M246" s="206"/>
      <c r="N246" s="206"/>
      <c r="O246" s="206"/>
      <c r="P246" s="337">
        <f t="shared" si="64"/>
        <v>0</v>
      </c>
      <c r="Q246" s="338" t="e">
        <f t="shared" si="65"/>
        <v>#DIV/0!</v>
      </c>
    </row>
    <row r="247" spans="1:17" s="46" customFormat="1" ht="22.5" customHeight="1">
      <c r="A247" s="66" t="s">
        <v>68</v>
      </c>
      <c r="B247" s="65">
        <v>13121</v>
      </c>
      <c r="C247" s="228">
        <f aca="true" t="shared" si="78" ref="C247:D249">H247+M247</f>
        <v>9511693.6</v>
      </c>
      <c r="D247" s="228">
        <f t="shared" si="78"/>
        <v>6848876.6</v>
      </c>
      <c r="E247" s="227">
        <f>E248+E249</f>
        <v>8447574.094</v>
      </c>
      <c r="F247" s="226">
        <f t="shared" si="60"/>
        <v>1598697.4940000009</v>
      </c>
      <c r="G247" s="150">
        <f t="shared" si="61"/>
        <v>123.34247771379032</v>
      </c>
      <c r="H247" s="206">
        <f>H248+H249</f>
        <v>9511693.6</v>
      </c>
      <c r="I247" s="206">
        <f>I248+I249</f>
        <v>6848876.6</v>
      </c>
      <c r="J247" s="206">
        <f>J248+J249</f>
        <v>8447574.094</v>
      </c>
      <c r="K247" s="205">
        <f t="shared" si="62"/>
        <v>1598697.4940000009</v>
      </c>
      <c r="L247" s="150">
        <f t="shared" si="63"/>
        <v>123.34247771379032</v>
      </c>
      <c r="M247" s="206"/>
      <c r="N247" s="206"/>
      <c r="O247" s="206"/>
      <c r="P247" s="337">
        <f t="shared" si="64"/>
        <v>0</v>
      </c>
      <c r="Q247" s="338" t="e">
        <f t="shared" si="65"/>
        <v>#DIV/0!</v>
      </c>
    </row>
    <row r="248" spans="1:17" s="47" customFormat="1" ht="22.5" customHeight="1">
      <c r="A248" s="67" t="s">
        <v>66</v>
      </c>
      <c r="B248" s="56">
        <v>13121100</v>
      </c>
      <c r="C248" s="223">
        <f t="shared" si="78"/>
        <v>9511693.6</v>
      </c>
      <c r="D248" s="223">
        <f t="shared" si="78"/>
        <v>6848876.6</v>
      </c>
      <c r="E248" s="223">
        <f>J248+O248</f>
        <v>8447574.094</v>
      </c>
      <c r="F248" s="224">
        <f t="shared" si="60"/>
        <v>1598697.4940000009</v>
      </c>
      <c r="G248" s="151">
        <f t="shared" si="61"/>
        <v>123.34247771379032</v>
      </c>
      <c r="H248" s="208">
        <v>9511693.6</v>
      </c>
      <c r="I248" s="208">
        <v>6848876.6</v>
      </c>
      <c r="J248" s="208">
        <f>3853131.994+4594442.1</f>
        <v>8447574.094</v>
      </c>
      <c r="K248" s="203">
        <f t="shared" si="62"/>
        <v>1598697.4940000009</v>
      </c>
      <c r="L248" s="151">
        <f t="shared" si="63"/>
        <v>123.34247771379032</v>
      </c>
      <c r="M248" s="208"/>
      <c r="N248" s="208"/>
      <c r="O248" s="208"/>
      <c r="P248" s="337">
        <f t="shared" si="64"/>
        <v>0</v>
      </c>
      <c r="Q248" s="338" t="e">
        <f t="shared" si="65"/>
        <v>#DIV/0!</v>
      </c>
    </row>
    <row r="249" spans="1:17" s="47" customFormat="1" ht="22.5" customHeight="1" hidden="1">
      <c r="A249" s="67" t="s">
        <v>67</v>
      </c>
      <c r="B249" s="56">
        <v>13121200</v>
      </c>
      <c r="C249" s="223">
        <f t="shared" si="78"/>
        <v>0</v>
      </c>
      <c r="D249" s="223">
        <f t="shared" si="78"/>
        <v>0</v>
      </c>
      <c r="E249" s="223">
        <f>J249+O249</f>
        <v>0</v>
      </c>
      <c r="F249" s="224">
        <f t="shared" si="60"/>
        <v>0</v>
      </c>
      <c r="G249" s="151" t="e">
        <f t="shared" si="61"/>
        <v>#DIV/0!</v>
      </c>
      <c r="H249" s="208"/>
      <c r="I249" s="208"/>
      <c r="J249" s="208"/>
      <c r="K249" s="203">
        <f t="shared" si="62"/>
        <v>0</v>
      </c>
      <c r="L249" s="151" t="e">
        <f t="shared" si="63"/>
        <v>#DIV/0!</v>
      </c>
      <c r="M249" s="208"/>
      <c r="N249" s="208"/>
      <c r="O249" s="208"/>
      <c r="P249" s="203">
        <f t="shared" si="64"/>
        <v>0</v>
      </c>
      <c r="Q249" s="151" t="e">
        <f t="shared" si="65"/>
        <v>#DIV/0!</v>
      </c>
    </row>
    <row r="250" spans="1:17" s="44" customFormat="1" ht="22.5" customHeight="1">
      <c r="A250" s="66" t="s">
        <v>69</v>
      </c>
      <c r="B250" s="65">
        <v>133</v>
      </c>
      <c r="C250" s="227"/>
      <c r="D250" s="227"/>
      <c r="E250" s="227"/>
      <c r="F250" s="349">
        <f t="shared" si="60"/>
        <v>0</v>
      </c>
      <c r="G250" s="342" t="e">
        <f t="shared" si="61"/>
        <v>#DIV/0!</v>
      </c>
      <c r="H250" s="344">
        <f>H251+H256</f>
        <v>0</v>
      </c>
      <c r="I250" s="344">
        <f>I251+I256</f>
        <v>0</v>
      </c>
      <c r="J250" s="206">
        <f>J251+J256</f>
        <v>1600</v>
      </c>
      <c r="K250" s="205">
        <f t="shared" si="62"/>
        <v>1600</v>
      </c>
      <c r="L250" s="342" t="e">
        <f t="shared" si="63"/>
        <v>#DIV/0!</v>
      </c>
      <c r="M250" s="206">
        <f>M251+M256</f>
        <v>5268161</v>
      </c>
      <c r="N250" s="206">
        <f>N251+N256</f>
        <v>5465621.8</v>
      </c>
      <c r="O250" s="206">
        <f>O251+O256</f>
        <v>5454887.171</v>
      </c>
      <c r="P250" s="205">
        <f t="shared" si="64"/>
        <v>-10734.628999999724</v>
      </c>
      <c r="Q250" s="150">
        <f t="shared" si="65"/>
        <v>99.80359729610271</v>
      </c>
    </row>
    <row r="251" spans="1:17" s="44" customFormat="1" ht="22.5" customHeight="1">
      <c r="A251" s="66" t="s">
        <v>12</v>
      </c>
      <c r="B251" s="65">
        <v>1331</v>
      </c>
      <c r="C251" s="227"/>
      <c r="D251" s="227"/>
      <c r="E251" s="227"/>
      <c r="F251" s="349">
        <f t="shared" si="60"/>
        <v>0</v>
      </c>
      <c r="G251" s="342" t="e">
        <f t="shared" si="61"/>
        <v>#DIV/0!</v>
      </c>
      <c r="H251" s="344">
        <f>H252</f>
        <v>0</v>
      </c>
      <c r="I251" s="344">
        <f>I252</f>
        <v>0</v>
      </c>
      <c r="J251" s="344">
        <f>J252</f>
        <v>0</v>
      </c>
      <c r="K251" s="341">
        <f t="shared" si="62"/>
        <v>0</v>
      </c>
      <c r="L251" s="342" t="e">
        <f t="shared" si="63"/>
        <v>#DIV/0!</v>
      </c>
      <c r="M251" s="206">
        <f>M252</f>
        <v>1818161</v>
      </c>
      <c r="N251" s="206">
        <f>N252</f>
        <v>1818161</v>
      </c>
      <c r="O251" s="206">
        <f>O252</f>
        <v>1817568.064</v>
      </c>
      <c r="P251" s="205">
        <f t="shared" si="64"/>
        <v>-592.935999999987</v>
      </c>
      <c r="Q251" s="150">
        <f t="shared" si="65"/>
        <v>99.96738814659429</v>
      </c>
    </row>
    <row r="252" spans="1:17" s="46" customFormat="1" ht="22.5" customHeight="1">
      <c r="A252" s="66" t="s">
        <v>12</v>
      </c>
      <c r="B252" s="65">
        <v>13311</v>
      </c>
      <c r="C252" s="229"/>
      <c r="D252" s="229"/>
      <c r="E252" s="229"/>
      <c r="F252" s="349">
        <f t="shared" si="60"/>
        <v>0</v>
      </c>
      <c r="G252" s="342" t="e">
        <f t="shared" si="61"/>
        <v>#DIV/0!</v>
      </c>
      <c r="H252" s="345">
        <f>H253+H254+H255</f>
        <v>0</v>
      </c>
      <c r="I252" s="345">
        <f>I253+I254+I255</f>
        <v>0</v>
      </c>
      <c r="J252" s="345">
        <f>J253+J254+J255</f>
        <v>0</v>
      </c>
      <c r="K252" s="341">
        <f t="shared" si="62"/>
        <v>0</v>
      </c>
      <c r="L252" s="342" t="e">
        <f t="shared" si="63"/>
        <v>#DIV/0!</v>
      </c>
      <c r="M252" s="210">
        <f>M253+M254+M255</f>
        <v>1818161</v>
      </c>
      <c r="N252" s="210">
        <f>N253+N254+N255</f>
        <v>1818161</v>
      </c>
      <c r="O252" s="210">
        <f>O253+O254+O255</f>
        <v>1817568.064</v>
      </c>
      <c r="P252" s="205">
        <f t="shared" si="64"/>
        <v>-592.935999999987</v>
      </c>
      <c r="Q252" s="150">
        <f t="shared" si="65"/>
        <v>99.96738814659429</v>
      </c>
    </row>
    <row r="253" spans="1:17" s="47" customFormat="1" ht="22.5" customHeight="1" hidden="1">
      <c r="A253" s="67" t="s">
        <v>15</v>
      </c>
      <c r="B253" s="56">
        <v>13311100</v>
      </c>
      <c r="C253" s="223"/>
      <c r="D253" s="223"/>
      <c r="E253" s="223"/>
      <c r="F253" s="350">
        <f t="shared" si="60"/>
        <v>0</v>
      </c>
      <c r="G253" s="338" t="e">
        <f t="shared" si="61"/>
        <v>#DIV/0!</v>
      </c>
      <c r="H253" s="208"/>
      <c r="I253" s="208"/>
      <c r="J253" s="208"/>
      <c r="K253" s="203">
        <f t="shared" si="62"/>
        <v>0</v>
      </c>
      <c r="L253" s="151" t="e">
        <f t="shared" si="63"/>
        <v>#DIV/0!</v>
      </c>
      <c r="M253" s="208"/>
      <c r="N253" s="208"/>
      <c r="O253" s="208"/>
      <c r="P253" s="203">
        <f t="shared" si="64"/>
        <v>0</v>
      </c>
      <c r="Q253" s="151" t="e">
        <f t="shared" si="65"/>
        <v>#DIV/0!</v>
      </c>
    </row>
    <row r="254" spans="1:17" s="47" customFormat="1" ht="22.5" customHeight="1">
      <c r="A254" s="67" t="s">
        <v>70</v>
      </c>
      <c r="B254" s="56">
        <v>13311200</v>
      </c>
      <c r="C254" s="223"/>
      <c r="D254" s="223"/>
      <c r="E254" s="223"/>
      <c r="F254" s="350">
        <f t="shared" si="60"/>
        <v>0</v>
      </c>
      <c r="G254" s="338" t="e">
        <f t="shared" si="61"/>
        <v>#DIV/0!</v>
      </c>
      <c r="H254" s="208"/>
      <c r="I254" s="208"/>
      <c r="J254" s="208"/>
      <c r="K254" s="337">
        <f t="shared" si="62"/>
        <v>0</v>
      </c>
      <c r="L254" s="338" t="e">
        <f t="shared" si="63"/>
        <v>#DIV/0!</v>
      </c>
      <c r="M254" s="208">
        <v>1818161</v>
      </c>
      <c r="N254" s="208">
        <v>1818161</v>
      </c>
      <c r="O254" s="208">
        <v>1817568.064</v>
      </c>
      <c r="P254" s="203">
        <f t="shared" si="64"/>
        <v>-592.935999999987</v>
      </c>
      <c r="Q254" s="151">
        <f t="shared" si="65"/>
        <v>99.96738814659429</v>
      </c>
    </row>
    <row r="255" spans="1:17" s="47" customFormat="1" ht="22.5" customHeight="1" hidden="1">
      <c r="A255" s="67" t="s">
        <v>71</v>
      </c>
      <c r="B255" s="56">
        <v>13311300</v>
      </c>
      <c r="C255" s="223"/>
      <c r="D255" s="223"/>
      <c r="E255" s="223"/>
      <c r="F255" s="350">
        <f t="shared" si="60"/>
        <v>0</v>
      </c>
      <c r="G255" s="338" t="e">
        <f t="shared" si="61"/>
        <v>#DIV/0!</v>
      </c>
      <c r="H255" s="208"/>
      <c r="I255" s="208"/>
      <c r="J255" s="208"/>
      <c r="K255" s="203">
        <f t="shared" si="62"/>
        <v>0</v>
      </c>
      <c r="L255" s="151" t="e">
        <f t="shared" si="63"/>
        <v>#DIV/0!</v>
      </c>
      <c r="M255" s="208"/>
      <c r="N255" s="208"/>
      <c r="O255" s="208"/>
      <c r="P255" s="203">
        <f t="shared" si="64"/>
        <v>0</v>
      </c>
      <c r="Q255" s="151" t="e">
        <f t="shared" si="65"/>
        <v>#DIV/0!</v>
      </c>
    </row>
    <row r="256" spans="1:17" s="44" customFormat="1" ht="22.5" customHeight="1">
      <c r="A256" s="66" t="s">
        <v>341</v>
      </c>
      <c r="B256" s="65">
        <v>1332</v>
      </c>
      <c r="C256" s="227"/>
      <c r="D256" s="227"/>
      <c r="E256" s="227"/>
      <c r="F256" s="349">
        <f t="shared" si="60"/>
        <v>0</v>
      </c>
      <c r="G256" s="342" t="e">
        <f t="shared" si="61"/>
        <v>#DIV/0!</v>
      </c>
      <c r="H256" s="344">
        <f>H257</f>
        <v>0</v>
      </c>
      <c r="I256" s="344">
        <f>I257</f>
        <v>0</v>
      </c>
      <c r="J256" s="206">
        <f>J257</f>
        <v>1600</v>
      </c>
      <c r="K256" s="205">
        <f t="shared" si="62"/>
        <v>1600</v>
      </c>
      <c r="L256" s="342" t="e">
        <f t="shared" si="63"/>
        <v>#DIV/0!</v>
      </c>
      <c r="M256" s="206">
        <f>M257</f>
        <v>3450000</v>
      </c>
      <c r="N256" s="206">
        <f>N257</f>
        <v>3647460.8</v>
      </c>
      <c r="O256" s="206">
        <f>O257</f>
        <v>3637319.107</v>
      </c>
      <c r="P256" s="205">
        <f t="shared" si="64"/>
        <v>-10141.69299999997</v>
      </c>
      <c r="Q256" s="150">
        <f t="shared" si="65"/>
        <v>99.72195196724253</v>
      </c>
    </row>
    <row r="257" spans="1:17" s="46" customFormat="1" ht="22.5" customHeight="1">
      <c r="A257" s="66" t="s">
        <v>341</v>
      </c>
      <c r="B257" s="65">
        <v>13321</v>
      </c>
      <c r="C257" s="227"/>
      <c r="D257" s="227"/>
      <c r="E257" s="227"/>
      <c r="F257" s="349">
        <f t="shared" si="60"/>
        <v>0</v>
      </c>
      <c r="G257" s="342" t="e">
        <f t="shared" si="61"/>
        <v>#DIV/0!</v>
      </c>
      <c r="H257" s="344">
        <f>H258+H259+H260+H261</f>
        <v>0</v>
      </c>
      <c r="I257" s="344">
        <f>I258+I259+I260+I261</f>
        <v>0</v>
      </c>
      <c r="J257" s="206">
        <f>J258+J259+J260+J261</f>
        <v>1600</v>
      </c>
      <c r="K257" s="205">
        <f t="shared" si="62"/>
        <v>1600</v>
      </c>
      <c r="L257" s="342" t="e">
        <f t="shared" si="63"/>
        <v>#DIV/0!</v>
      </c>
      <c r="M257" s="206">
        <f>M258+M259+M260+M261</f>
        <v>3450000</v>
      </c>
      <c r="N257" s="206">
        <f>N258+N259+N260+N261</f>
        <v>3647460.8</v>
      </c>
      <c r="O257" s="206">
        <f>O258+O259+O260+O261</f>
        <v>3637319.107</v>
      </c>
      <c r="P257" s="205">
        <f t="shared" si="64"/>
        <v>-10141.69299999997</v>
      </c>
      <c r="Q257" s="150">
        <f t="shared" si="65"/>
        <v>99.72195196724253</v>
      </c>
    </row>
    <row r="258" spans="1:17" s="47" customFormat="1" ht="22.5" customHeight="1" hidden="1">
      <c r="A258" s="67" t="s">
        <v>368</v>
      </c>
      <c r="B258" s="56">
        <v>13321100</v>
      </c>
      <c r="C258" s="223"/>
      <c r="D258" s="223"/>
      <c r="E258" s="223"/>
      <c r="F258" s="350">
        <f t="shared" si="60"/>
        <v>0</v>
      </c>
      <c r="G258" s="338" t="e">
        <f t="shared" si="61"/>
        <v>#DIV/0!</v>
      </c>
      <c r="H258" s="208"/>
      <c r="I258" s="208"/>
      <c r="J258" s="208"/>
      <c r="K258" s="203">
        <f t="shared" si="62"/>
        <v>0</v>
      </c>
      <c r="L258" s="338" t="e">
        <f t="shared" si="63"/>
        <v>#DIV/0!</v>
      </c>
      <c r="M258" s="208"/>
      <c r="N258" s="208"/>
      <c r="O258" s="208"/>
      <c r="P258" s="203">
        <f t="shared" si="64"/>
        <v>0</v>
      </c>
      <c r="Q258" s="151" t="e">
        <f t="shared" si="65"/>
        <v>#DIV/0!</v>
      </c>
    </row>
    <row r="259" spans="1:17" s="47" customFormat="1" ht="22.5" customHeight="1" hidden="1">
      <c r="A259" s="67" t="s">
        <v>369</v>
      </c>
      <c r="B259" s="56">
        <v>13321200</v>
      </c>
      <c r="C259" s="223"/>
      <c r="D259" s="223"/>
      <c r="E259" s="223"/>
      <c r="F259" s="350">
        <f t="shared" si="60"/>
        <v>0</v>
      </c>
      <c r="G259" s="338" t="e">
        <f t="shared" si="61"/>
        <v>#DIV/0!</v>
      </c>
      <c r="H259" s="208"/>
      <c r="I259" s="208"/>
      <c r="J259" s="208"/>
      <c r="K259" s="203">
        <f t="shared" si="62"/>
        <v>0</v>
      </c>
      <c r="L259" s="338" t="e">
        <f t="shared" si="63"/>
        <v>#DIV/0!</v>
      </c>
      <c r="M259" s="208"/>
      <c r="N259" s="208"/>
      <c r="O259" s="208"/>
      <c r="P259" s="203">
        <f t="shared" si="64"/>
        <v>0</v>
      </c>
      <c r="Q259" s="151" t="e">
        <f t="shared" si="65"/>
        <v>#DIV/0!</v>
      </c>
    </row>
    <row r="260" spans="1:17" s="47" customFormat="1" ht="22.5" customHeight="1">
      <c r="A260" s="67" t="s">
        <v>370</v>
      </c>
      <c r="B260" s="56">
        <v>13321300</v>
      </c>
      <c r="C260" s="223"/>
      <c r="D260" s="223"/>
      <c r="E260" s="223"/>
      <c r="F260" s="350">
        <f t="shared" si="60"/>
        <v>0</v>
      </c>
      <c r="G260" s="338" t="e">
        <f t="shared" si="61"/>
        <v>#DIV/0!</v>
      </c>
      <c r="H260" s="208"/>
      <c r="I260" s="208"/>
      <c r="J260" s="208"/>
      <c r="K260" s="337">
        <f t="shared" si="62"/>
        <v>0</v>
      </c>
      <c r="L260" s="338" t="e">
        <f t="shared" si="63"/>
        <v>#DIV/0!</v>
      </c>
      <c r="M260" s="208">
        <v>3450000</v>
      </c>
      <c r="N260" s="208">
        <v>3647460.8</v>
      </c>
      <c r="O260" s="208">
        <v>3637319.107</v>
      </c>
      <c r="P260" s="203">
        <f t="shared" si="64"/>
        <v>-10141.69299999997</v>
      </c>
      <c r="Q260" s="151">
        <f t="shared" si="65"/>
        <v>99.72195196724253</v>
      </c>
    </row>
    <row r="261" spans="1:17" s="47" customFormat="1" ht="22.5" customHeight="1">
      <c r="A261" s="67" t="s">
        <v>342</v>
      </c>
      <c r="B261" s="56">
        <v>13321400</v>
      </c>
      <c r="C261" s="223"/>
      <c r="D261" s="223"/>
      <c r="E261" s="223"/>
      <c r="F261" s="350">
        <f t="shared" si="60"/>
        <v>0</v>
      </c>
      <c r="G261" s="338" t="e">
        <f t="shared" si="61"/>
        <v>#DIV/0!</v>
      </c>
      <c r="H261" s="208"/>
      <c r="I261" s="208"/>
      <c r="J261" s="208">
        <v>1600</v>
      </c>
      <c r="K261" s="203">
        <f t="shared" si="62"/>
        <v>1600</v>
      </c>
      <c r="L261" s="338" t="e">
        <f t="shared" si="63"/>
        <v>#DIV/0!</v>
      </c>
      <c r="M261" s="208"/>
      <c r="N261" s="208"/>
      <c r="O261" s="208"/>
      <c r="P261" s="337">
        <f t="shared" si="64"/>
        <v>0</v>
      </c>
      <c r="Q261" s="338" t="e">
        <f t="shared" si="65"/>
        <v>#DIV/0!</v>
      </c>
    </row>
    <row r="262" spans="1:17" s="50" customFormat="1" ht="22.5" customHeight="1">
      <c r="A262" s="66" t="s">
        <v>10</v>
      </c>
      <c r="B262" s="65">
        <v>14</v>
      </c>
      <c r="C262" s="227">
        <f>C265+C297+C397+C406+C412</f>
        <v>22702530</v>
      </c>
      <c r="D262" s="227">
        <f>D265+D297+D397+D406+D412</f>
        <v>30377007.799999997</v>
      </c>
      <c r="E262" s="227">
        <f>E265+E297+E397+E406+E412</f>
        <v>30255032.522</v>
      </c>
      <c r="F262" s="226">
        <f t="shared" si="60"/>
        <v>-121975.27799999714</v>
      </c>
      <c r="G262" s="150">
        <f t="shared" si="61"/>
        <v>99.59846184060301</v>
      </c>
      <c r="H262" s="206">
        <f>H265+H297+H397+H406+H412</f>
        <v>20694322</v>
      </c>
      <c r="I262" s="206">
        <f>I265+I297+I397+I406+I412</f>
        <v>27627075.4</v>
      </c>
      <c r="J262" s="206">
        <f>J265+J297+J397+J406+J412</f>
        <v>27363939.854999993</v>
      </c>
      <c r="K262" s="205">
        <f t="shared" si="62"/>
        <v>-263135.5450000055</v>
      </c>
      <c r="L262" s="150">
        <f t="shared" si="63"/>
        <v>99.04754469595429</v>
      </c>
      <c r="M262" s="206">
        <f>M265+M297+M397+M406+M412</f>
        <v>2008208</v>
      </c>
      <c r="N262" s="206">
        <f>N265+N297+N397+N406+N412</f>
        <v>2749932.4</v>
      </c>
      <c r="O262" s="206">
        <f>O265+O297+O397+O406+O412</f>
        <v>2891092.667</v>
      </c>
      <c r="P262" s="205">
        <f t="shared" si="64"/>
        <v>141160.267</v>
      </c>
      <c r="Q262" s="150">
        <f t="shared" si="65"/>
        <v>105.13322680222976</v>
      </c>
    </row>
    <row r="263" spans="1:17" s="51" customFormat="1" ht="22.5" customHeight="1">
      <c r="A263" s="179" t="s">
        <v>358</v>
      </c>
      <c r="B263" s="65"/>
      <c r="C263" s="223">
        <f aca="true" t="shared" si="79" ref="C263:E264">H263+M263</f>
        <v>2371722.1</v>
      </c>
      <c r="D263" s="223">
        <f t="shared" si="79"/>
        <v>2832979.6</v>
      </c>
      <c r="E263" s="223">
        <f t="shared" si="79"/>
        <v>4273097.712</v>
      </c>
      <c r="F263" s="224">
        <f t="shared" si="60"/>
        <v>1440118.1120000002</v>
      </c>
      <c r="G263" s="151">
        <f t="shared" si="61"/>
        <v>150.83404455153863</v>
      </c>
      <c r="H263" s="202">
        <v>1318948.1</v>
      </c>
      <c r="I263" s="208">
        <v>1318948.1</v>
      </c>
      <c r="J263" s="208">
        <v>2671825.882</v>
      </c>
      <c r="K263" s="203">
        <f t="shared" si="62"/>
        <v>1352877.7820000001</v>
      </c>
      <c r="L263" s="151">
        <f t="shared" si="63"/>
        <v>202.5724804486242</v>
      </c>
      <c r="M263" s="202">
        <v>1052774</v>
      </c>
      <c r="N263" s="208">
        <v>1514031.5</v>
      </c>
      <c r="O263" s="208">
        <v>1601271.83</v>
      </c>
      <c r="P263" s="203">
        <f t="shared" si="64"/>
        <v>87240.33000000007</v>
      </c>
      <c r="Q263" s="151">
        <f t="shared" si="65"/>
        <v>105.76212119761048</v>
      </c>
    </row>
    <row r="264" spans="1:17" s="50" customFormat="1" ht="22.5" customHeight="1">
      <c r="A264" s="179" t="s">
        <v>525</v>
      </c>
      <c r="B264" s="65"/>
      <c r="C264" s="223">
        <f t="shared" si="79"/>
        <v>9640672.1</v>
      </c>
      <c r="D264" s="223">
        <f t="shared" si="79"/>
        <v>11235882</v>
      </c>
      <c r="E264" s="223">
        <f t="shared" si="79"/>
        <v>10705299.761</v>
      </c>
      <c r="F264" s="224">
        <f t="shared" si="60"/>
        <v>-530582.2390000001</v>
      </c>
      <c r="G264" s="151">
        <f t="shared" si="61"/>
        <v>95.27778736907348</v>
      </c>
      <c r="H264" s="202">
        <v>8685238.1</v>
      </c>
      <c r="I264" s="202">
        <v>10125533.5</v>
      </c>
      <c r="J264" s="208">
        <f>9256508.407+247535.178</f>
        <v>9504043.584999999</v>
      </c>
      <c r="K264" s="203">
        <f t="shared" si="62"/>
        <v>-621489.915000001</v>
      </c>
      <c r="L264" s="151">
        <f t="shared" si="63"/>
        <v>93.86215141157747</v>
      </c>
      <c r="M264" s="202">
        <v>955434</v>
      </c>
      <c r="N264" s="202">
        <v>1110348.5</v>
      </c>
      <c r="O264" s="208">
        <v>1201256.176</v>
      </c>
      <c r="P264" s="203">
        <f t="shared" si="64"/>
        <v>90907.67599999998</v>
      </c>
      <c r="Q264" s="151">
        <f t="shared" si="65"/>
        <v>108.18731020035601</v>
      </c>
    </row>
    <row r="265" spans="1:17" s="44" customFormat="1" ht="22.5" customHeight="1">
      <c r="A265" s="66" t="s">
        <v>72</v>
      </c>
      <c r="B265" s="65">
        <v>141</v>
      </c>
      <c r="C265" s="227">
        <f>C266+C271+C277</f>
        <v>7406992.6</v>
      </c>
      <c r="D265" s="227">
        <f>D266+D271+D277</f>
        <v>8118850.399999999</v>
      </c>
      <c r="E265" s="227">
        <f>E266+E271+E277</f>
        <v>8486879.390999999</v>
      </c>
      <c r="F265" s="226">
        <f t="shared" si="60"/>
        <v>368028.99099999946</v>
      </c>
      <c r="G265" s="150">
        <f t="shared" si="61"/>
        <v>104.53301850468878</v>
      </c>
      <c r="H265" s="206">
        <f>H266+H271+H277</f>
        <v>6459077.6</v>
      </c>
      <c r="I265" s="206">
        <f>I266+I271+I277</f>
        <v>6719702.699999999</v>
      </c>
      <c r="J265" s="206">
        <f>J266+J271+J277</f>
        <v>6992590.255999999</v>
      </c>
      <c r="K265" s="205">
        <f t="shared" si="62"/>
        <v>272887.55599999987</v>
      </c>
      <c r="L265" s="150">
        <f t="shared" si="63"/>
        <v>104.06100638946423</v>
      </c>
      <c r="M265" s="206">
        <f>M266+M271+M277</f>
        <v>947915</v>
      </c>
      <c r="N265" s="206">
        <f>N266+N271+N277</f>
        <v>1399147.7</v>
      </c>
      <c r="O265" s="206">
        <f>O266+O271+O277</f>
        <v>1494289.135</v>
      </c>
      <c r="P265" s="205">
        <f t="shared" si="64"/>
        <v>95141.43500000006</v>
      </c>
      <c r="Q265" s="150">
        <f t="shared" si="65"/>
        <v>106.79995650209054</v>
      </c>
    </row>
    <row r="266" spans="1:17" s="45" customFormat="1" ht="22.5" customHeight="1">
      <c r="A266" s="66" t="s">
        <v>73</v>
      </c>
      <c r="B266" s="65">
        <v>1411</v>
      </c>
      <c r="C266" s="229">
        <f>C267+C269</f>
        <v>1031240.9</v>
      </c>
      <c r="D266" s="229">
        <f>D267+D269</f>
        <v>743204</v>
      </c>
      <c r="E266" s="229">
        <f>E267+E269</f>
        <v>881719.743</v>
      </c>
      <c r="F266" s="226">
        <f t="shared" si="60"/>
        <v>138515.74300000002</v>
      </c>
      <c r="G266" s="150">
        <f t="shared" si="61"/>
        <v>118.63764767143341</v>
      </c>
      <c r="H266" s="210">
        <f>H267+H269</f>
        <v>1031240.9</v>
      </c>
      <c r="I266" s="210">
        <f>I267+I269</f>
        <v>743204</v>
      </c>
      <c r="J266" s="210">
        <f>J267+J269</f>
        <v>881719.743</v>
      </c>
      <c r="K266" s="205">
        <f t="shared" si="62"/>
        <v>138515.74300000002</v>
      </c>
      <c r="L266" s="150">
        <f t="shared" si="63"/>
        <v>118.63764767143341</v>
      </c>
      <c r="M266" s="345">
        <f>M267+M269</f>
        <v>0</v>
      </c>
      <c r="N266" s="345">
        <f>N267+N269</f>
        <v>0</v>
      </c>
      <c r="O266" s="345">
        <f>O267+O269</f>
        <v>0</v>
      </c>
      <c r="P266" s="341">
        <f t="shared" si="64"/>
        <v>0</v>
      </c>
      <c r="Q266" s="342" t="e">
        <f t="shared" si="65"/>
        <v>#DIV/0!</v>
      </c>
    </row>
    <row r="267" spans="1:17" s="46" customFormat="1" ht="22.5" customHeight="1">
      <c r="A267" s="66" t="s">
        <v>74</v>
      </c>
      <c r="B267" s="65">
        <v>14111</v>
      </c>
      <c r="C267" s="348">
        <f>C268</f>
        <v>0</v>
      </c>
      <c r="D267" s="227">
        <f>D268</f>
        <v>6504</v>
      </c>
      <c r="E267" s="348">
        <f>E268</f>
        <v>0</v>
      </c>
      <c r="F267" s="226">
        <f aca="true" t="shared" si="80" ref="F267:F330">E267-D267</f>
        <v>-6504</v>
      </c>
      <c r="G267" s="342">
        <f aca="true" t="shared" si="81" ref="G267:G330">E267/D267*100</f>
        <v>0</v>
      </c>
      <c r="H267" s="344">
        <f>H268</f>
        <v>0</v>
      </c>
      <c r="I267" s="206">
        <f>I268</f>
        <v>6504</v>
      </c>
      <c r="J267" s="344">
        <f>J268</f>
        <v>0</v>
      </c>
      <c r="K267" s="205">
        <f aca="true" t="shared" si="82" ref="K267:K330">J267-I267</f>
        <v>-6504</v>
      </c>
      <c r="L267" s="342">
        <f aca="true" t="shared" si="83" ref="L267:L330">J267/I267*100</f>
        <v>0</v>
      </c>
      <c r="M267" s="344">
        <f>M268</f>
        <v>0</v>
      </c>
      <c r="N267" s="344">
        <f>N268</f>
        <v>0</v>
      </c>
      <c r="O267" s="344">
        <f>O268</f>
        <v>0</v>
      </c>
      <c r="P267" s="341">
        <f aca="true" t="shared" si="84" ref="P267:P330">O267-N267</f>
        <v>0</v>
      </c>
      <c r="Q267" s="342" t="e">
        <f aca="true" t="shared" si="85" ref="Q267:Q330">O267/N267*100</f>
        <v>#DIV/0!</v>
      </c>
    </row>
    <row r="268" spans="1:17" s="49" customFormat="1" ht="22.5" customHeight="1">
      <c r="A268" s="67" t="s">
        <v>75</v>
      </c>
      <c r="B268" s="56">
        <v>14111100</v>
      </c>
      <c r="C268" s="339">
        <f>H268+M268</f>
        <v>0</v>
      </c>
      <c r="D268" s="223">
        <f>I268+N268</f>
        <v>6504</v>
      </c>
      <c r="E268" s="339">
        <f>J268+O268</f>
        <v>0</v>
      </c>
      <c r="F268" s="224">
        <f t="shared" si="80"/>
        <v>-6504</v>
      </c>
      <c r="G268" s="338">
        <f t="shared" si="81"/>
        <v>0</v>
      </c>
      <c r="H268" s="208"/>
      <c r="I268" s="208">
        <v>6504</v>
      </c>
      <c r="J268" s="208"/>
      <c r="K268" s="203">
        <f t="shared" si="82"/>
        <v>-6504</v>
      </c>
      <c r="L268" s="338">
        <f t="shared" si="83"/>
        <v>0</v>
      </c>
      <c r="M268" s="343"/>
      <c r="N268" s="343"/>
      <c r="O268" s="343"/>
      <c r="P268" s="337">
        <f t="shared" si="84"/>
        <v>0</v>
      </c>
      <c r="Q268" s="338" t="e">
        <f t="shared" si="85"/>
        <v>#DIV/0!</v>
      </c>
    </row>
    <row r="269" spans="1:17" s="46" customFormat="1" ht="22.5" customHeight="1">
      <c r="A269" s="66" t="s">
        <v>77</v>
      </c>
      <c r="B269" s="65">
        <v>14112</v>
      </c>
      <c r="C269" s="227">
        <f>C270</f>
        <v>1031240.9</v>
      </c>
      <c r="D269" s="227">
        <f>D270</f>
        <v>736700</v>
      </c>
      <c r="E269" s="227">
        <f>E270</f>
        <v>881719.743</v>
      </c>
      <c r="F269" s="226">
        <f t="shared" si="80"/>
        <v>145019.74300000002</v>
      </c>
      <c r="G269" s="150">
        <f t="shared" si="81"/>
        <v>119.68504723768156</v>
      </c>
      <c r="H269" s="206">
        <f>H270</f>
        <v>1031240.9</v>
      </c>
      <c r="I269" s="206">
        <f>I270</f>
        <v>736700</v>
      </c>
      <c r="J269" s="206">
        <f>J270</f>
        <v>881719.743</v>
      </c>
      <c r="K269" s="205">
        <f t="shared" si="82"/>
        <v>145019.74300000002</v>
      </c>
      <c r="L269" s="150">
        <f t="shared" si="83"/>
        <v>119.68504723768156</v>
      </c>
      <c r="M269" s="344">
        <f>M270</f>
        <v>0</v>
      </c>
      <c r="N269" s="344">
        <f>N270</f>
        <v>0</v>
      </c>
      <c r="O269" s="344">
        <f>O270</f>
        <v>0</v>
      </c>
      <c r="P269" s="341">
        <f t="shared" si="84"/>
        <v>0</v>
      </c>
      <c r="Q269" s="342" t="e">
        <f t="shared" si="85"/>
        <v>#DIV/0!</v>
      </c>
    </row>
    <row r="270" spans="1:17" s="49" customFormat="1" ht="22.5" customHeight="1">
      <c r="A270" s="67" t="s">
        <v>77</v>
      </c>
      <c r="B270" s="56">
        <v>14112100</v>
      </c>
      <c r="C270" s="223">
        <f>H270+M270</f>
        <v>1031240.9</v>
      </c>
      <c r="D270" s="223">
        <f>I270+N270</f>
        <v>736700</v>
      </c>
      <c r="E270" s="223">
        <f>J270+O270</f>
        <v>881719.743</v>
      </c>
      <c r="F270" s="224">
        <f t="shared" si="80"/>
        <v>145019.74300000002</v>
      </c>
      <c r="G270" s="151">
        <f t="shared" si="81"/>
        <v>119.68504723768156</v>
      </c>
      <c r="H270" s="208">
        <v>1031240.9</v>
      </c>
      <c r="I270" s="208">
        <v>736700</v>
      </c>
      <c r="J270" s="208">
        <v>881719.743</v>
      </c>
      <c r="K270" s="203">
        <f t="shared" si="82"/>
        <v>145019.74300000002</v>
      </c>
      <c r="L270" s="151">
        <f t="shared" si="83"/>
        <v>119.68504723768156</v>
      </c>
      <c r="M270" s="343"/>
      <c r="N270" s="343"/>
      <c r="O270" s="343"/>
      <c r="P270" s="337">
        <f t="shared" si="84"/>
        <v>0</v>
      </c>
      <c r="Q270" s="338" t="e">
        <f t="shared" si="85"/>
        <v>#DIV/0!</v>
      </c>
    </row>
    <row r="271" spans="1:17" s="45" customFormat="1" ht="22.5" customHeight="1">
      <c r="A271" s="66" t="s">
        <v>78</v>
      </c>
      <c r="B271" s="65">
        <v>1412</v>
      </c>
      <c r="C271" s="227">
        <f>C272+C274</f>
        <v>5067811.1</v>
      </c>
      <c r="D271" s="227">
        <f>D272+D274</f>
        <v>5816473.1</v>
      </c>
      <c r="E271" s="227">
        <f>E272+E274</f>
        <v>5086367.27</v>
      </c>
      <c r="F271" s="226">
        <f t="shared" si="80"/>
        <v>-730105.8300000001</v>
      </c>
      <c r="G271" s="150">
        <f t="shared" si="81"/>
        <v>87.44761958926621</v>
      </c>
      <c r="H271" s="206">
        <f>H272+H274</f>
        <v>5067811.1</v>
      </c>
      <c r="I271" s="206">
        <f>I272+I274</f>
        <v>5816473.1</v>
      </c>
      <c r="J271" s="206">
        <f>J272+J274</f>
        <v>5086367.27</v>
      </c>
      <c r="K271" s="205">
        <f t="shared" si="82"/>
        <v>-730105.8300000001</v>
      </c>
      <c r="L271" s="150">
        <f t="shared" si="83"/>
        <v>87.44761958926621</v>
      </c>
      <c r="M271" s="344">
        <f>M272+M274</f>
        <v>0</v>
      </c>
      <c r="N271" s="344">
        <f>N272+N274</f>
        <v>0</v>
      </c>
      <c r="O271" s="344">
        <f>O272+O274</f>
        <v>0</v>
      </c>
      <c r="P271" s="341">
        <f t="shared" si="84"/>
        <v>0</v>
      </c>
      <c r="Q271" s="342" t="e">
        <f t="shared" si="85"/>
        <v>#DIV/0!</v>
      </c>
    </row>
    <row r="272" spans="1:17" s="46" customFormat="1" ht="22.5" customHeight="1">
      <c r="A272" s="66" t="s">
        <v>79</v>
      </c>
      <c r="B272" s="65">
        <v>14121</v>
      </c>
      <c r="C272" s="229">
        <f>C273</f>
        <v>1610181.8</v>
      </c>
      <c r="D272" s="229">
        <f>D273</f>
        <v>2826047.8</v>
      </c>
      <c r="E272" s="229">
        <f>E273</f>
        <v>2176269.803</v>
      </c>
      <c r="F272" s="226">
        <f t="shared" si="80"/>
        <v>-649777.997</v>
      </c>
      <c r="G272" s="150">
        <f t="shared" si="81"/>
        <v>77.00753692135002</v>
      </c>
      <c r="H272" s="210">
        <f>H273</f>
        <v>1610181.8</v>
      </c>
      <c r="I272" s="210">
        <f>I273</f>
        <v>2826047.8</v>
      </c>
      <c r="J272" s="210">
        <f>J273</f>
        <v>2176269.803</v>
      </c>
      <c r="K272" s="205">
        <f t="shared" si="82"/>
        <v>-649777.997</v>
      </c>
      <c r="L272" s="150">
        <f t="shared" si="83"/>
        <v>77.00753692135002</v>
      </c>
      <c r="M272" s="345">
        <f>M273</f>
        <v>0</v>
      </c>
      <c r="N272" s="345">
        <f>N273</f>
        <v>0</v>
      </c>
      <c r="O272" s="345">
        <f>O273</f>
        <v>0</v>
      </c>
      <c r="P272" s="341">
        <f t="shared" si="84"/>
        <v>0</v>
      </c>
      <c r="Q272" s="342" t="e">
        <f t="shared" si="85"/>
        <v>#DIV/0!</v>
      </c>
    </row>
    <row r="273" spans="1:17" s="47" customFormat="1" ht="22.5" customHeight="1">
      <c r="A273" s="67" t="s">
        <v>80</v>
      </c>
      <c r="B273" s="56">
        <v>14121100</v>
      </c>
      <c r="C273" s="223">
        <f>H273+M273</f>
        <v>1610181.8</v>
      </c>
      <c r="D273" s="223">
        <f>I273+N273</f>
        <v>2826047.8</v>
      </c>
      <c r="E273" s="223">
        <f>J273+O273</f>
        <v>2176269.803</v>
      </c>
      <c r="F273" s="224">
        <f t="shared" si="80"/>
        <v>-649777.997</v>
      </c>
      <c r="G273" s="151">
        <f t="shared" si="81"/>
        <v>77.00753692135002</v>
      </c>
      <c r="H273" s="208">
        <v>1610181.8</v>
      </c>
      <c r="I273" s="208">
        <v>2826047.8</v>
      </c>
      <c r="J273" s="208">
        <v>2176269.803</v>
      </c>
      <c r="K273" s="203">
        <f t="shared" si="82"/>
        <v>-649777.997</v>
      </c>
      <c r="L273" s="151">
        <f t="shared" si="83"/>
        <v>77.00753692135002</v>
      </c>
      <c r="M273" s="343"/>
      <c r="N273" s="343"/>
      <c r="O273" s="343"/>
      <c r="P273" s="337">
        <f t="shared" si="84"/>
        <v>0</v>
      </c>
      <c r="Q273" s="338" t="e">
        <f t="shared" si="85"/>
        <v>#DIV/0!</v>
      </c>
    </row>
    <row r="274" spans="1:17" s="46" customFormat="1" ht="22.5" customHeight="1">
      <c r="A274" s="66" t="s">
        <v>81</v>
      </c>
      <c r="B274" s="65">
        <v>14122</v>
      </c>
      <c r="C274" s="229">
        <f>C275+C276</f>
        <v>3457629.3</v>
      </c>
      <c r="D274" s="229">
        <f>D275+D276</f>
        <v>2990425.3</v>
      </c>
      <c r="E274" s="229">
        <f>E275+E276</f>
        <v>2910097.467</v>
      </c>
      <c r="F274" s="226">
        <f t="shared" si="80"/>
        <v>-80327.83299999963</v>
      </c>
      <c r="G274" s="150">
        <f t="shared" si="81"/>
        <v>97.3138324839614</v>
      </c>
      <c r="H274" s="210">
        <f>H275+H276</f>
        <v>3457629.3</v>
      </c>
      <c r="I274" s="210">
        <f>I275+I276</f>
        <v>2990425.3</v>
      </c>
      <c r="J274" s="210">
        <f>J275+J276</f>
        <v>2910097.467</v>
      </c>
      <c r="K274" s="205">
        <f t="shared" si="82"/>
        <v>-80327.83299999963</v>
      </c>
      <c r="L274" s="150">
        <f t="shared" si="83"/>
        <v>97.3138324839614</v>
      </c>
      <c r="M274" s="345">
        <f>M275+M276</f>
        <v>0</v>
      </c>
      <c r="N274" s="345">
        <f>N275+N276</f>
        <v>0</v>
      </c>
      <c r="O274" s="345">
        <f>O275+O276</f>
        <v>0</v>
      </c>
      <c r="P274" s="341">
        <f t="shared" si="84"/>
        <v>0</v>
      </c>
      <c r="Q274" s="342" t="e">
        <f t="shared" si="85"/>
        <v>#DIV/0!</v>
      </c>
    </row>
    <row r="275" spans="1:17" s="49" customFormat="1" ht="22.5" customHeight="1">
      <c r="A275" s="67" t="s">
        <v>82</v>
      </c>
      <c r="B275" s="56">
        <v>14122100</v>
      </c>
      <c r="C275" s="223">
        <f aca="true" t="shared" si="86" ref="C275:E276">H275+M275</f>
        <v>3000000</v>
      </c>
      <c r="D275" s="223">
        <f t="shared" si="86"/>
        <v>2643996</v>
      </c>
      <c r="E275" s="223">
        <f t="shared" si="86"/>
        <v>2643996.333</v>
      </c>
      <c r="F275" s="224">
        <f t="shared" si="80"/>
        <v>0.33300000010058284</v>
      </c>
      <c r="G275" s="151">
        <f t="shared" si="81"/>
        <v>100.00001259457277</v>
      </c>
      <c r="H275" s="208">
        <v>3000000</v>
      </c>
      <c r="I275" s="208">
        <v>2643996</v>
      </c>
      <c r="J275" s="208">
        <v>2643996.333</v>
      </c>
      <c r="K275" s="203">
        <f t="shared" si="82"/>
        <v>0.33300000010058284</v>
      </c>
      <c r="L275" s="151">
        <f t="shared" si="83"/>
        <v>100.00001259457277</v>
      </c>
      <c r="M275" s="343"/>
      <c r="N275" s="343"/>
      <c r="O275" s="343"/>
      <c r="P275" s="337">
        <f t="shared" si="84"/>
        <v>0</v>
      </c>
      <c r="Q275" s="338" t="e">
        <f t="shared" si="85"/>
        <v>#DIV/0!</v>
      </c>
    </row>
    <row r="276" spans="1:17" s="49" customFormat="1" ht="22.5" customHeight="1">
      <c r="A276" s="67" t="s">
        <v>359</v>
      </c>
      <c r="B276" s="56">
        <v>14122200</v>
      </c>
      <c r="C276" s="223">
        <f t="shared" si="86"/>
        <v>457629.3</v>
      </c>
      <c r="D276" s="223">
        <f t="shared" si="86"/>
        <v>346429.3</v>
      </c>
      <c r="E276" s="223">
        <f t="shared" si="86"/>
        <v>266101.134</v>
      </c>
      <c r="F276" s="224">
        <f t="shared" si="80"/>
        <v>-80328.16599999997</v>
      </c>
      <c r="G276" s="151">
        <f t="shared" si="81"/>
        <v>76.8125369303347</v>
      </c>
      <c r="H276" s="208">
        <v>457629.3</v>
      </c>
      <c r="I276" s="208">
        <v>346429.3</v>
      </c>
      <c r="J276" s="208">
        <v>266101.134</v>
      </c>
      <c r="K276" s="203">
        <f t="shared" si="82"/>
        <v>-80328.16599999997</v>
      </c>
      <c r="L276" s="151">
        <f t="shared" si="83"/>
        <v>76.8125369303347</v>
      </c>
      <c r="M276" s="343"/>
      <c r="N276" s="343"/>
      <c r="O276" s="343"/>
      <c r="P276" s="337">
        <f t="shared" si="84"/>
        <v>0</v>
      </c>
      <c r="Q276" s="338" t="e">
        <f t="shared" si="85"/>
        <v>#DIV/0!</v>
      </c>
    </row>
    <row r="277" spans="1:17" s="45" customFormat="1" ht="22.5" customHeight="1">
      <c r="A277" s="66" t="s">
        <v>571</v>
      </c>
      <c r="B277" s="65">
        <v>1415</v>
      </c>
      <c r="C277" s="229">
        <f>C278+C281+C291+C295</f>
        <v>1307940.6</v>
      </c>
      <c r="D277" s="229">
        <f>D278+D281+D291+D295</f>
        <v>1559173.2999999998</v>
      </c>
      <c r="E277" s="229">
        <f>E278+E281+E291+E295</f>
        <v>2518792.3780000005</v>
      </c>
      <c r="F277" s="226">
        <f t="shared" si="80"/>
        <v>959619.0780000007</v>
      </c>
      <c r="G277" s="150">
        <f t="shared" si="81"/>
        <v>161.54665924564003</v>
      </c>
      <c r="H277" s="210">
        <f>H278+H281+H291+H295</f>
        <v>360025.6</v>
      </c>
      <c r="I277" s="210">
        <f>I278+I281+I291+I295</f>
        <v>160025.6</v>
      </c>
      <c r="J277" s="210">
        <f>J278+J281+J291+J295</f>
        <v>1024503.243</v>
      </c>
      <c r="K277" s="205">
        <f t="shared" si="82"/>
        <v>864477.643</v>
      </c>
      <c r="L277" s="342">
        <f t="shared" si="83"/>
        <v>640.2120929401295</v>
      </c>
      <c r="M277" s="210">
        <f>M278+M281+M291+M295</f>
        <v>947915</v>
      </c>
      <c r="N277" s="210">
        <f>N278+N281+N291+N295</f>
        <v>1399147.7</v>
      </c>
      <c r="O277" s="210">
        <f>O278+O281+O291+O295</f>
        <v>1494289.135</v>
      </c>
      <c r="P277" s="205">
        <f t="shared" si="84"/>
        <v>95141.43500000006</v>
      </c>
      <c r="Q277" s="150">
        <f t="shared" si="85"/>
        <v>106.79995650209054</v>
      </c>
    </row>
    <row r="278" spans="1:17" s="46" customFormat="1" ht="22.5" customHeight="1">
      <c r="A278" s="66" t="s">
        <v>526</v>
      </c>
      <c r="B278" s="65">
        <v>14151</v>
      </c>
      <c r="C278" s="227">
        <f>C279+C280</f>
        <v>360000</v>
      </c>
      <c r="D278" s="227">
        <f>D279+D280</f>
        <v>400000</v>
      </c>
      <c r="E278" s="227">
        <f>E279+E280</f>
        <v>465503.454</v>
      </c>
      <c r="F278" s="226">
        <f t="shared" si="80"/>
        <v>65503.45400000003</v>
      </c>
      <c r="G278" s="150">
        <f t="shared" si="81"/>
        <v>116.3758635</v>
      </c>
      <c r="H278" s="206">
        <f>H279+H280</f>
        <v>300000</v>
      </c>
      <c r="I278" s="206">
        <f>I279+I280</f>
        <v>100000</v>
      </c>
      <c r="J278" s="206">
        <f>J279+J280</f>
        <v>85281.747</v>
      </c>
      <c r="K278" s="205">
        <f t="shared" si="82"/>
        <v>-14718.252999999997</v>
      </c>
      <c r="L278" s="150">
        <f t="shared" si="83"/>
        <v>85.28174700000001</v>
      </c>
      <c r="M278" s="206">
        <f>M279+M280</f>
        <v>60000</v>
      </c>
      <c r="N278" s="206">
        <f>N279+N280</f>
        <v>300000</v>
      </c>
      <c r="O278" s="206">
        <f>O279+O280</f>
        <v>380221.707</v>
      </c>
      <c r="P278" s="205">
        <f t="shared" si="84"/>
        <v>80221.707</v>
      </c>
      <c r="Q278" s="150">
        <f t="shared" si="85"/>
        <v>126.740569</v>
      </c>
    </row>
    <row r="279" spans="1:17" s="47" customFormat="1" ht="22.5" customHeight="1">
      <c r="A279" s="67" t="s">
        <v>576</v>
      </c>
      <c r="B279" s="56">
        <v>14151100</v>
      </c>
      <c r="C279" s="223">
        <f aca="true" t="shared" si="87" ref="C279:E280">H279+M279</f>
        <v>300000</v>
      </c>
      <c r="D279" s="223">
        <f t="shared" si="87"/>
        <v>100000</v>
      </c>
      <c r="E279" s="223">
        <f t="shared" si="87"/>
        <v>72651.7</v>
      </c>
      <c r="F279" s="224">
        <f t="shared" si="80"/>
        <v>-27348.300000000003</v>
      </c>
      <c r="G279" s="151">
        <f t="shared" si="81"/>
        <v>72.65169999999999</v>
      </c>
      <c r="H279" s="208">
        <v>300000</v>
      </c>
      <c r="I279" s="208">
        <v>100000</v>
      </c>
      <c r="J279" s="208">
        <v>68107.124</v>
      </c>
      <c r="K279" s="203">
        <f t="shared" si="82"/>
        <v>-31892.876000000004</v>
      </c>
      <c r="L279" s="151">
        <f t="shared" si="83"/>
        <v>68.107124</v>
      </c>
      <c r="M279" s="208"/>
      <c r="N279" s="208"/>
      <c r="O279" s="208">
        <v>4544.576</v>
      </c>
      <c r="P279" s="203">
        <f t="shared" si="84"/>
        <v>4544.576</v>
      </c>
      <c r="Q279" s="338" t="e">
        <f t="shared" si="85"/>
        <v>#DIV/0!</v>
      </c>
    </row>
    <row r="280" spans="1:17" s="47" customFormat="1" ht="22.5" customHeight="1">
      <c r="A280" s="67" t="s">
        <v>371</v>
      </c>
      <c r="B280" s="56">
        <v>14151200</v>
      </c>
      <c r="C280" s="223">
        <f t="shared" si="87"/>
        <v>60000</v>
      </c>
      <c r="D280" s="223">
        <f t="shared" si="87"/>
        <v>300000</v>
      </c>
      <c r="E280" s="223">
        <f t="shared" si="87"/>
        <v>392851.754</v>
      </c>
      <c r="F280" s="224">
        <f t="shared" si="80"/>
        <v>92851.75400000002</v>
      </c>
      <c r="G280" s="151">
        <f t="shared" si="81"/>
        <v>130.95058466666666</v>
      </c>
      <c r="H280" s="208"/>
      <c r="I280" s="208"/>
      <c r="J280" s="208">
        <v>17174.623</v>
      </c>
      <c r="K280" s="203">
        <f t="shared" si="82"/>
        <v>17174.623</v>
      </c>
      <c r="L280" s="338" t="e">
        <f t="shared" si="83"/>
        <v>#DIV/0!</v>
      </c>
      <c r="M280" s="208">
        <v>60000</v>
      </c>
      <c r="N280" s="208">
        <v>300000</v>
      </c>
      <c r="O280" s="208">
        <v>375677.131</v>
      </c>
      <c r="P280" s="203">
        <f t="shared" si="84"/>
        <v>75677.131</v>
      </c>
      <c r="Q280" s="151">
        <f t="shared" si="85"/>
        <v>125.22571033333334</v>
      </c>
    </row>
    <row r="281" spans="1:17" s="46" customFormat="1" ht="22.5" customHeight="1">
      <c r="A281" s="66" t="s">
        <v>83</v>
      </c>
      <c r="B281" s="65">
        <v>14152</v>
      </c>
      <c r="C281" s="229">
        <f>C282+C283+C284+C285+C286+C287+C288+C289+C290</f>
        <v>710172</v>
      </c>
      <c r="D281" s="229">
        <f>D282+D283+D284+D285+D286+D287+D288+D289+D290</f>
        <v>896623.7</v>
      </c>
      <c r="E281" s="229">
        <f>E282+E283+E284+E285+E286+E287+E288+E289+E290</f>
        <v>1023834.123</v>
      </c>
      <c r="F281" s="226">
        <f t="shared" si="80"/>
        <v>127210.42300000007</v>
      </c>
      <c r="G281" s="150">
        <f t="shared" si="81"/>
        <v>114.18771587233307</v>
      </c>
      <c r="H281" s="345">
        <f>H282+H283+H284+H285+H286+H287+H288+H289+H290</f>
        <v>0</v>
      </c>
      <c r="I281" s="345">
        <f>I282+I283+I284+I285+I286+I287+I288+I289+I290</f>
        <v>0</v>
      </c>
      <c r="J281" s="210">
        <f>J282+J283+J284+J285+J286+J287+J288+J289+J290</f>
        <v>101689.187</v>
      </c>
      <c r="K281" s="205">
        <f t="shared" si="82"/>
        <v>101689.187</v>
      </c>
      <c r="L281" s="342" t="e">
        <f t="shared" si="83"/>
        <v>#DIV/0!</v>
      </c>
      <c r="M281" s="210">
        <f>M282+M283+M284+M285+M286+M287+M288+M289+M290</f>
        <v>710172</v>
      </c>
      <c r="N281" s="210">
        <f>N282+N283+N284+N285+N286+N287+N288+N289+N290</f>
        <v>896623.7</v>
      </c>
      <c r="O281" s="210">
        <f>O282+O283+O284+O285+O286+O287+O288+O289+O290</f>
        <v>922144.936</v>
      </c>
      <c r="P281" s="205">
        <f t="shared" si="84"/>
        <v>25521.236000000034</v>
      </c>
      <c r="Q281" s="150">
        <f t="shared" si="85"/>
        <v>102.84637089115533</v>
      </c>
    </row>
    <row r="282" spans="1:17" s="47" customFormat="1" ht="22.5" customHeight="1">
      <c r="A282" s="67" t="s">
        <v>343</v>
      </c>
      <c r="B282" s="56">
        <v>14152100</v>
      </c>
      <c r="C282" s="223">
        <f aca="true" t="shared" si="88" ref="C282:C290">H282+M282</f>
        <v>466475</v>
      </c>
      <c r="D282" s="223">
        <f aca="true" t="shared" si="89" ref="D282:D290">I282+N282</f>
        <v>566719</v>
      </c>
      <c r="E282" s="223">
        <f aca="true" t="shared" si="90" ref="E282:E294">J282+O282</f>
        <v>555908.958</v>
      </c>
      <c r="F282" s="224">
        <f t="shared" si="80"/>
        <v>-10810.042000000016</v>
      </c>
      <c r="G282" s="151">
        <f t="shared" si="81"/>
        <v>98.09252169064386</v>
      </c>
      <c r="H282" s="208"/>
      <c r="I282" s="208"/>
      <c r="J282" s="208"/>
      <c r="K282" s="337">
        <f t="shared" si="82"/>
        <v>0</v>
      </c>
      <c r="L282" s="338" t="e">
        <f t="shared" si="83"/>
        <v>#DIV/0!</v>
      </c>
      <c r="M282" s="208">
        <v>466475</v>
      </c>
      <c r="N282" s="208">
        <v>566719</v>
      </c>
      <c r="O282" s="208">
        <v>555908.958</v>
      </c>
      <c r="P282" s="203">
        <f t="shared" si="84"/>
        <v>-10810.042000000016</v>
      </c>
      <c r="Q282" s="151">
        <f t="shared" si="85"/>
        <v>98.09252169064386</v>
      </c>
    </row>
    <row r="283" spans="1:17" s="47" customFormat="1" ht="22.5" customHeight="1">
      <c r="A283" s="67" t="s">
        <v>572</v>
      </c>
      <c r="B283" s="56">
        <v>14152200</v>
      </c>
      <c r="C283" s="223">
        <f t="shared" si="88"/>
        <v>2590</v>
      </c>
      <c r="D283" s="223">
        <f t="shared" si="89"/>
        <v>67281.2</v>
      </c>
      <c r="E283" s="223">
        <f>J283+O283</f>
        <v>59439.614</v>
      </c>
      <c r="F283" s="224">
        <f t="shared" si="80"/>
        <v>-7841.585999999996</v>
      </c>
      <c r="G283" s="151">
        <f t="shared" si="81"/>
        <v>88.34505627129124</v>
      </c>
      <c r="H283" s="208"/>
      <c r="I283" s="208"/>
      <c r="J283" s="208"/>
      <c r="K283" s="337">
        <f t="shared" si="82"/>
        <v>0</v>
      </c>
      <c r="L283" s="338" t="e">
        <f t="shared" si="83"/>
        <v>#DIV/0!</v>
      </c>
      <c r="M283" s="208">
        <v>2590</v>
      </c>
      <c r="N283" s="208">
        <v>67281.2</v>
      </c>
      <c r="O283" s="208">
        <v>59439.614</v>
      </c>
      <c r="P283" s="203">
        <f t="shared" si="84"/>
        <v>-7841.585999999996</v>
      </c>
      <c r="Q283" s="151">
        <f t="shared" si="85"/>
        <v>88.34505627129124</v>
      </c>
    </row>
    <row r="284" spans="1:17" s="47" customFormat="1" ht="22.5" customHeight="1" hidden="1">
      <c r="A284" s="67" t="s">
        <v>344</v>
      </c>
      <c r="B284" s="56">
        <v>14152300</v>
      </c>
      <c r="C284" s="223">
        <f t="shared" si="88"/>
        <v>0</v>
      </c>
      <c r="D284" s="223">
        <f t="shared" si="89"/>
        <v>0</v>
      </c>
      <c r="E284" s="223">
        <f>J284+O284</f>
        <v>0</v>
      </c>
      <c r="F284" s="224">
        <f t="shared" si="80"/>
        <v>0</v>
      </c>
      <c r="G284" s="151" t="e">
        <f t="shared" si="81"/>
        <v>#DIV/0!</v>
      </c>
      <c r="H284" s="208"/>
      <c r="I284" s="208"/>
      <c r="J284" s="208"/>
      <c r="K284" s="337">
        <f t="shared" si="82"/>
        <v>0</v>
      </c>
      <c r="L284" s="338" t="e">
        <f t="shared" si="83"/>
        <v>#DIV/0!</v>
      </c>
      <c r="M284" s="208"/>
      <c r="N284" s="208"/>
      <c r="O284" s="208"/>
      <c r="P284" s="203">
        <f t="shared" si="84"/>
        <v>0</v>
      </c>
      <c r="Q284" s="151" t="e">
        <f t="shared" si="85"/>
        <v>#DIV/0!</v>
      </c>
    </row>
    <row r="285" spans="1:17" s="47" customFormat="1" ht="22.5" customHeight="1" hidden="1">
      <c r="A285" s="67" t="s">
        <v>345</v>
      </c>
      <c r="B285" s="56">
        <v>14152400</v>
      </c>
      <c r="C285" s="223">
        <f t="shared" si="88"/>
        <v>0</v>
      </c>
      <c r="D285" s="223">
        <f t="shared" si="89"/>
        <v>0</v>
      </c>
      <c r="E285" s="223">
        <f>J285+O285</f>
        <v>0</v>
      </c>
      <c r="F285" s="224">
        <f t="shared" si="80"/>
        <v>0</v>
      </c>
      <c r="G285" s="151" t="e">
        <f t="shared" si="81"/>
        <v>#DIV/0!</v>
      </c>
      <c r="H285" s="208"/>
      <c r="I285" s="208"/>
      <c r="J285" s="208"/>
      <c r="K285" s="337">
        <f t="shared" si="82"/>
        <v>0</v>
      </c>
      <c r="L285" s="338" t="e">
        <f t="shared" si="83"/>
        <v>#DIV/0!</v>
      </c>
      <c r="M285" s="208"/>
      <c r="N285" s="208"/>
      <c r="O285" s="208"/>
      <c r="P285" s="203">
        <f t="shared" si="84"/>
        <v>0</v>
      </c>
      <c r="Q285" s="151" t="e">
        <f t="shared" si="85"/>
        <v>#DIV/0!</v>
      </c>
    </row>
    <row r="286" spans="1:17" s="47" customFormat="1" ht="22.5" customHeight="1" hidden="1">
      <c r="A286" s="67" t="s">
        <v>346</v>
      </c>
      <c r="B286" s="56">
        <v>14152500</v>
      </c>
      <c r="C286" s="223">
        <f t="shared" si="88"/>
        <v>0</v>
      </c>
      <c r="D286" s="223">
        <f t="shared" si="89"/>
        <v>0</v>
      </c>
      <c r="E286" s="223">
        <f>J286+O286</f>
        <v>0</v>
      </c>
      <c r="F286" s="224">
        <f t="shared" si="80"/>
        <v>0</v>
      </c>
      <c r="G286" s="151" t="e">
        <f t="shared" si="81"/>
        <v>#DIV/0!</v>
      </c>
      <c r="H286" s="208"/>
      <c r="I286" s="208"/>
      <c r="J286" s="208"/>
      <c r="K286" s="337">
        <f t="shared" si="82"/>
        <v>0</v>
      </c>
      <c r="L286" s="338" t="e">
        <f t="shared" si="83"/>
        <v>#DIV/0!</v>
      </c>
      <c r="M286" s="208"/>
      <c r="N286" s="208"/>
      <c r="O286" s="208"/>
      <c r="P286" s="203">
        <f t="shared" si="84"/>
        <v>0</v>
      </c>
      <c r="Q286" s="151" t="e">
        <f t="shared" si="85"/>
        <v>#DIV/0!</v>
      </c>
    </row>
    <row r="287" spans="1:17" s="47" customFormat="1" ht="22.5" customHeight="1">
      <c r="A287" s="67" t="s">
        <v>84</v>
      </c>
      <c r="B287" s="56">
        <v>14152600</v>
      </c>
      <c r="C287" s="223">
        <f t="shared" si="88"/>
        <v>241107</v>
      </c>
      <c r="D287" s="223">
        <f t="shared" si="89"/>
        <v>249950</v>
      </c>
      <c r="E287" s="223">
        <f>J287+O287</f>
        <v>279383.052</v>
      </c>
      <c r="F287" s="224">
        <f t="shared" si="80"/>
        <v>29433.052000000025</v>
      </c>
      <c r="G287" s="151">
        <f t="shared" si="81"/>
        <v>111.77557591518305</v>
      </c>
      <c r="H287" s="208"/>
      <c r="I287" s="208"/>
      <c r="J287" s="208"/>
      <c r="K287" s="337">
        <f t="shared" si="82"/>
        <v>0</v>
      </c>
      <c r="L287" s="338" t="e">
        <f t="shared" si="83"/>
        <v>#DIV/0!</v>
      </c>
      <c r="M287" s="208">
        <v>241107</v>
      </c>
      <c r="N287" s="208">
        <v>249950</v>
      </c>
      <c r="O287" s="208">
        <v>279383.052</v>
      </c>
      <c r="P287" s="203">
        <f t="shared" si="84"/>
        <v>29433.052000000025</v>
      </c>
      <c r="Q287" s="151">
        <f t="shared" si="85"/>
        <v>111.77557591518305</v>
      </c>
    </row>
    <row r="288" spans="1:17" s="47" customFormat="1" ht="22.5" customHeight="1">
      <c r="A288" s="67" t="s">
        <v>85</v>
      </c>
      <c r="B288" s="56">
        <v>14152700</v>
      </c>
      <c r="C288" s="339">
        <f t="shared" si="88"/>
        <v>0</v>
      </c>
      <c r="D288" s="223">
        <f t="shared" si="89"/>
        <v>4997.9</v>
      </c>
      <c r="E288" s="223">
        <f t="shared" si="90"/>
        <v>4744.1</v>
      </c>
      <c r="F288" s="224">
        <f t="shared" si="80"/>
        <v>-253.79999999999927</v>
      </c>
      <c r="G288" s="151">
        <f t="shared" si="81"/>
        <v>94.92186718421739</v>
      </c>
      <c r="H288" s="208"/>
      <c r="I288" s="208"/>
      <c r="J288" s="208"/>
      <c r="K288" s="337">
        <f t="shared" si="82"/>
        <v>0</v>
      </c>
      <c r="L288" s="338" t="e">
        <f t="shared" si="83"/>
        <v>#DIV/0!</v>
      </c>
      <c r="M288" s="208"/>
      <c r="N288" s="208">
        <v>4997.9</v>
      </c>
      <c r="O288" s="208">
        <v>4744.1</v>
      </c>
      <c r="P288" s="203">
        <f t="shared" si="84"/>
        <v>-253.79999999999927</v>
      </c>
      <c r="Q288" s="151">
        <f t="shared" si="85"/>
        <v>94.92186718421739</v>
      </c>
    </row>
    <row r="289" spans="1:17" s="47" customFormat="1" ht="22.5" customHeight="1">
      <c r="A289" s="67" t="s">
        <v>86</v>
      </c>
      <c r="B289" s="56">
        <v>14152800</v>
      </c>
      <c r="C289" s="339">
        <f t="shared" si="88"/>
        <v>0</v>
      </c>
      <c r="D289" s="339">
        <f t="shared" si="89"/>
        <v>0</v>
      </c>
      <c r="E289" s="223">
        <f t="shared" si="90"/>
        <v>37.8</v>
      </c>
      <c r="F289" s="224">
        <f t="shared" si="80"/>
        <v>37.8</v>
      </c>
      <c r="G289" s="338" t="e">
        <f t="shared" si="81"/>
        <v>#DIV/0!</v>
      </c>
      <c r="H289" s="208"/>
      <c r="I289" s="208"/>
      <c r="J289" s="208"/>
      <c r="K289" s="337">
        <f t="shared" si="82"/>
        <v>0</v>
      </c>
      <c r="L289" s="338" t="e">
        <f t="shared" si="83"/>
        <v>#DIV/0!</v>
      </c>
      <c r="M289" s="208"/>
      <c r="N289" s="208"/>
      <c r="O289" s="208">
        <v>37.8</v>
      </c>
      <c r="P289" s="203">
        <f t="shared" si="84"/>
        <v>37.8</v>
      </c>
      <c r="Q289" s="338" t="e">
        <f t="shared" si="85"/>
        <v>#DIV/0!</v>
      </c>
    </row>
    <row r="290" spans="1:17" s="47" customFormat="1" ht="22.5" customHeight="1">
      <c r="A290" s="67" t="s">
        <v>87</v>
      </c>
      <c r="B290" s="56">
        <v>14152900</v>
      </c>
      <c r="C290" s="339">
        <f t="shared" si="88"/>
        <v>0</v>
      </c>
      <c r="D290" s="223">
        <f t="shared" si="89"/>
        <v>7675.6</v>
      </c>
      <c r="E290" s="223">
        <f t="shared" si="90"/>
        <v>124320.599</v>
      </c>
      <c r="F290" s="224">
        <f t="shared" si="80"/>
        <v>116644.999</v>
      </c>
      <c r="G290" s="338">
        <f t="shared" si="81"/>
        <v>1619.6857444369168</v>
      </c>
      <c r="H290" s="208"/>
      <c r="I290" s="208"/>
      <c r="J290" s="208">
        <v>101689.187</v>
      </c>
      <c r="K290" s="203">
        <f t="shared" si="82"/>
        <v>101689.187</v>
      </c>
      <c r="L290" s="338" t="e">
        <f t="shared" si="83"/>
        <v>#DIV/0!</v>
      </c>
      <c r="M290" s="208"/>
      <c r="N290" s="208">
        <v>7675.6</v>
      </c>
      <c r="O290" s="208">
        <v>22631.412</v>
      </c>
      <c r="P290" s="203">
        <f t="shared" si="84"/>
        <v>14955.812</v>
      </c>
      <c r="Q290" s="338">
        <f t="shared" si="85"/>
        <v>294.8487675230601</v>
      </c>
    </row>
    <row r="291" spans="1:17" s="48" customFormat="1" ht="22.5" customHeight="1">
      <c r="A291" s="66" t="s">
        <v>347</v>
      </c>
      <c r="B291" s="65">
        <v>14153</v>
      </c>
      <c r="C291" s="228">
        <f>C292+C293+C294</f>
        <v>237768.6</v>
      </c>
      <c r="D291" s="228">
        <f>D292+D293+D294</f>
        <v>262549.6</v>
      </c>
      <c r="E291" s="228">
        <f>E292+E293+E294</f>
        <v>619977.061</v>
      </c>
      <c r="F291" s="226">
        <f t="shared" si="80"/>
        <v>357427.461</v>
      </c>
      <c r="G291" s="342">
        <f t="shared" si="81"/>
        <v>236.137118852971</v>
      </c>
      <c r="H291" s="209">
        <f>H292+H293+H294</f>
        <v>60025.6</v>
      </c>
      <c r="I291" s="209">
        <f>I292+I293+I294</f>
        <v>60025.6</v>
      </c>
      <c r="J291" s="209">
        <f>J292+J293+J294</f>
        <v>428054.569</v>
      </c>
      <c r="K291" s="205">
        <f t="shared" si="82"/>
        <v>368028.96900000004</v>
      </c>
      <c r="L291" s="342">
        <f t="shared" si="83"/>
        <v>713.1200171260263</v>
      </c>
      <c r="M291" s="209">
        <f>M292+M293+M294</f>
        <v>177743</v>
      </c>
      <c r="N291" s="209">
        <f>N292+N293+N294</f>
        <v>202524</v>
      </c>
      <c r="O291" s="209">
        <f>O292+O293+O294</f>
        <v>191922.492</v>
      </c>
      <c r="P291" s="205">
        <f t="shared" si="84"/>
        <v>-10601.508000000002</v>
      </c>
      <c r="Q291" s="150">
        <f t="shared" si="85"/>
        <v>94.76530781537002</v>
      </c>
    </row>
    <row r="292" spans="1:17" s="47" customFormat="1" ht="22.5" customHeight="1">
      <c r="A292" s="67" t="s">
        <v>348</v>
      </c>
      <c r="B292" s="56">
        <v>14153100</v>
      </c>
      <c r="C292" s="223">
        <f aca="true" t="shared" si="91" ref="C292:D294">H292+M292</f>
        <v>60025.6</v>
      </c>
      <c r="D292" s="223">
        <f t="shared" si="91"/>
        <v>60025.6</v>
      </c>
      <c r="E292" s="223">
        <f t="shared" si="90"/>
        <v>115261.462</v>
      </c>
      <c r="F292" s="224">
        <f t="shared" si="80"/>
        <v>55235.862</v>
      </c>
      <c r="G292" s="151">
        <f t="shared" si="81"/>
        <v>192.02050791662225</v>
      </c>
      <c r="H292" s="208">
        <v>60025.6</v>
      </c>
      <c r="I292" s="208">
        <v>60025.6</v>
      </c>
      <c r="J292" s="208">
        <v>115261.462</v>
      </c>
      <c r="K292" s="203">
        <f t="shared" si="82"/>
        <v>55235.862</v>
      </c>
      <c r="L292" s="151">
        <f t="shared" si="83"/>
        <v>192.02050791662225</v>
      </c>
      <c r="M292" s="208"/>
      <c r="N292" s="208"/>
      <c r="O292" s="208"/>
      <c r="P292" s="337">
        <f t="shared" si="84"/>
        <v>0</v>
      </c>
      <c r="Q292" s="338" t="e">
        <f t="shared" si="85"/>
        <v>#DIV/0!</v>
      </c>
    </row>
    <row r="293" spans="1:17" s="47" customFormat="1" ht="22.5" customHeight="1">
      <c r="A293" s="67" t="s">
        <v>349</v>
      </c>
      <c r="B293" s="56">
        <v>14153200</v>
      </c>
      <c r="C293" s="223">
        <f t="shared" si="91"/>
        <v>177743</v>
      </c>
      <c r="D293" s="223">
        <f t="shared" si="91"/>
        <v>202524</v>
      </c>
      <c r="E293" s="223">
        <f t="shared" si="90"/>
        <v>88862.276</v>
      </c>
      <c r="F293" s="224">
        <f t="shared" si="80"/>
        <v>-113661.724</v>
      </c>
      <c r="G293" s="151">
        <f t="shared" si="81"/>
        <v>43.8774051470443</v>
      </c>
      <c r="H293" s="208"/>
      <c r="I293" s="208"/>
      <c r="J293" s="208"/>
      <c r="K293" s="337">
        <f t="shared" si="82"/>
        <v>0</v>
      </c>
      <c r="L293" s="338" t="e">
        <f t="shared" si="83"/>
        <v>#DIV/0!</v>
      </c>
      <c r="M293" s="208">
        <v>177743</v>
      </c>
      <c r="N293" s="208">
        <v>202524</v>
      </c>
      <c r="O293" s="208">
        <v>88862.276</v>
      </c>
      <c r="P293" s="203">
        <f t="shared" si="84"/>
        <v>-113661.724</v>
      </c>
      <c r="Q293" s="151">
        <f t="shared" si="85"/>
        <v>43.8774051470443</v>
      </c>
    </row>
    <row r="294" spans="1:17" s="47" customFormat="1" ht="22.5" customHeight="1">
      <c r="A294" s="67" t="s">
        <v>281</v>
      </c>
      <c r="B294" s="56">
        <v>14153900</v>
      </c>
      <c r="C294" s="339">
        <f t="shared" si="91"/>
        <v>0</v>
      </c>
      <c r="D294" s="339">
        <f t="shared" si="91"/>
        <v>0</v>
      </c>
      <c r="E294" s="223">
        <f t="shared" si="90"/>
        <v>415853.32300000003</v>
      </c>
      <c r="F294" s="224">
        <f t="shared" si="80"/>
        <v>415853.32300000003</v>
      </c>
      <c r="G294" s="338" t="e">
        <f t="shared" si="81"/>
        <v>#DIV/0!</v>
      </c>
      <c r="H294" s="208"/>
      <c r="I294" s="208"/>
      <c r="J294" s="208">
        <v>312793.107</v>
      </c>
      <c r="K294" s="203">
        <f t="shared" si="82"/>
        <v>312793.107</v>
      </c>
      <c r="L294" s="338" t="e">
        <f t="shared" si="83"/>
        <v>#DIV/0!</v>
      </c>
      <c r="M294" s="208"/>
      <c r="N294" s="208"/>
      <c r="O294" s="208">
        <v>103060.216</v>
      </c>
      <c r="P294" s="203">
        <f t="shared" si="84"/>
        <v>103060.216</v>
      </c>
      <c r="Q294" s="338" t="e">
        <f t="shared" si="85"/>
        <v>#DIV/0!</v>
      </c>
    </row>
    <row r="295" spans="1:17" s="47" customFormat="1" ht="22.5" customHeight="1">
      <c r="A295" s="66" t="s">
        <v>527</v>
      </c>
      <c r="B295" s="65">
        <v>14154</v>
      </c>
      <c r="C295" s="347">
        <f>C296</f>
        <v>0</v>
      </c>
      <c r="D295" s="347">
        <f>D296</f>
        <v>0</v>
      </c>
      <c r="E295" s="228">
        <f>E296</f>
        <v>409477.74</v>
      </c>
      <c r="F295" s="226">
        <f t="shared" si="80"/>
        <v>409477.74</v>
      </c>
      <c r="G295" s="342" t="e">
        <f t="shared" si="81"/>
        <v>#DIV/0!</v>
      </c>
      <c r="H295" s="340">
        <f>H296</f>
        <v>0</v>
      </c>
      <c r="I295" s="340">
        <f>I296</f>
        <v>0</v>
      </c>
      <c r="J295" s="209">
        <f>J296</f>
        <v>409477.74</v>
      </c>
      <c r="K295" s="205">
        <f t="shared" si="82"/>
        <v>409477.74</v>
      </c>
      <c r="L295" s="342" t="e">
        <f t="shared" si="83"/>
        <v>#DIV/0!</v>
      </c>
      <c r="M295" s="340">
        <f>M296</f>
        <v>0</v>
      </c>
      <c r="N295" s="340">
        <f>N296</f>
        <v>0</v>
      </c>
      <c r="O295" s="340">
        <f>O296</f>
        <v>0</v>
      </c>
      <c r="P295" s="341">
        <f t="shared" si="84"/>
        <v>0</v>
      </c>
      <c r="Q295" s="342" t="e">
        <f t="shared" si="85"/>
        <v>#DIV/0!</v>
      </c>
    </row>
    <row r="296" spans="1:17" s="47" customFormat="1" ht="22.5" customHeight="1">
      <c r="A296" s="67" t="s">
        <v>528</v>
      </c>
      <c r="B296" s="56">
        <v>14154100</v>
      </c>
      <c r="C296" s="339">
        <f>H296+M296</f>
        <v>0</v>
      </c>
      <c r="D296" s="339">
        <f>I296+N296</f>
        <v>0</v>
      </c>
      <c r="E296" s="223">
        <f>J296+O296</f>
        <v>409477.74</v>
      </c>
      <c r="F296" s="224">
        <f t="shared" si="80"/>
        <v>409477.74</v>
      </c>
      <c r="G296" s="338" t="e">
        <f t="shared" si="81"/>
        <v>#DIV/0!</v>
      </c>
      <c r="H296" s="208"/>
      <c r="I296" s="208"/>
      <c r="J296" s="208">
        <v>409477.74</v>
      </c>
      <c r="K296" s="203">
        <f t="shared" si="82"/>
        <v>409477.74</v>
      </c>
      <c r="L296" s="338" t="e">
        <f t="shared" si="83"/>
        <v>#DIV/0!</v>
      </c>
      <c r="M296" s="343"/>
      <c r="N296" s="343"/>
      <c r="O296" s="343"/>
      <c r="P296" s="337">
        <f t="shared" si="84"/>
        <v>0</v>
      </c>
      <c r="Q296" s="338" t="e">
        <f t="shared" si="85"/>
        <v>#DIV/0!</v>
      </c>
    </row>
    <row r="297" spans="1:17" s="44" customFormat="1" ht="22.5" customHeight="1">
      <c r="A297" s="66" t="s">
        <v>372</v>
      </c>
      <c r="B297" s="65">
        <v>142</v>
      </c>
      <c r="C297" s="227">
        <f>C298+C319</f>
        <v>11772496.899999999</v>
      </c>
      <c r="D297" s="227">
        <f>D298+D319</f>
        <v>13375918.7</v>
      </c>
      <c r="E297" s="227">
        <f>E298+E319</f>
        <v>12264166.459</v>
      </c>
      <c r="F297" s="226">
        <f t="shared" si="80"/>
        <v>-1111752.2409999985</v>
      </c>
      <c r="G297" s="150">
        <f t="shared" si="81"/>
        <v>91.6884046177703</v>
      </c>
      <c r="H297" s="206">
        <f>H298+H319</f>
        <v>10758307.9</v>
      </c>
      <c r="I297" s="206">
        <f>I298+I319</f>
        <v>12206815.2</v>
      </c>
      <c r="J297" s="206">
        <f>J298+J319</f>
        <v>11169003.665</v>
      </c>
      <c r="K297" s="205">
        <f t="shared" si="82"/>
        <v>-1037811.5350000001</v>
      </c>
      <c r="L297" s="150">
        <f t="shared" si="83"/>
        <v>91.49809743167079</v>
      </c>
      <c r="M297" s="206">
        <f>M298+M319</f>
        <v>1014189</v>
      </c>
      <c r="N297" s="206">
        <f>N298+N319</f>
        <v>1169103.5</v>
      </c>
      <c r="O297" s="206">
        <f>O298+O319</f>
        <v>1095162.794</v>
      </c>
      <c r="P297" s="205">
        <f t="shared" si="84"/>
        <v>-73940.706</v>
      </c>
      <c r="Q297" s="150">
        <f t="shared" si="85"/>
        <v>93.67543540841336</v>
      </c>
    </row>
    <row r="298" spans="1:17" s="45" customFormat="1" ht="22.5" customHeight="1">
      <c r="A298" s="66" t="s">
        <v>14</v>
      </c>
      <c r="B298" s="65">
        <v>1422</v>
      </c>
      <c r="C298" s="229">
        <f>C299+C309+C315</f>
        <v>2131824.8</v>
      </c>
      <c r="D298" s="229">
        <f>D299+D309+D315</f>
        <v>2140036.7</v>
      </c>
      <c r="E298" s="229">
        <f>E299+E309+E315</f>
        <v>2589201.2100000004</v>
      </c>
      <c r="F298" s="226">
        <f t="shared" si="80"/>
        <v>449164.51000000024</v>
      </c>
      <c r="G298" s="150">
        <f t="shared" si="81"/>
        <v>120.98863584909549</v>
      </c>
      <c r="H298" s="210">
        <f>H299+H309+H315</f>
        <v>2073069.8</v>
      </c>
      <c r="I298" s="210">
        <f>I299+I309+I315</f>
        <v>2081281.7000000002</v>
      </c>
      <c r="J298" s="210">
        <f>J299+J309+J315</f>
        <v>2525260.927</v>
      </c>
      <c r="K298" s="205">
        <f t="shared" si="82"/>
        <v>443979.22699999996</v>
      </c>
      <c r="L298" s="150">
        <f t="shared" si="83"/>
        <v>121.33201031844945</v>
      </c>
      <c r="M298" s="210">
        <f>M299+M309+M315</f>
        <v>58755</v>
      </c>
      <c r="N298" s="210">
        <f>N299+N309+N315</f>
        <v>58755</v>
      </c>
      <c r="O298" s="210">
        <f>O299+O309+O315</f>
        <v>63940.282999999996</v>
      </c>
      <c r="P298" s="205">
        <f t="shared" si="84"/>
        <v>5185.282999999996</v>
      </c>
      <c r="Q298" s="150">
        <f t="shared" si="85"/>
        <v>108.82526253084843</v>
      </c>
    </row>
    <row r="299" spans="1:17" s="46" customFormat="1" ht="22.5" customHeight="1">
      <c r="A299" s="66" t="s">
        <v>529</v>
      </c>
      <c r="B299" s="65">
        <v>14221</v>
      </c>
      <c r="C299" s="227">
        <f>C300+C301+C302+C303+C304+C305+C306+C307+C308</f>
        <v>1828774.3</v>
      </c>
      <c r="D299" s="227">
        <f>D300+D301+D302+D303+D304+D305+D306+D307+D308</f>
        <v>1806986.2000000002</v>
      </c>
      <c r="E299" s="227">
        <f>E300+E301+E302+E303+E304+E305+E306+E307+E308</f>
        <v>2158741.075</v>
      </c>
      <c r="F299" s="226">
        <f t="shared" si="80"/>
        <v>351754.875</v>
      </c>
      <c r="G299" s="150">
        <f t="shared" si="81"/>
        <v>119.4663841373</v>
      </c>
      <c r="H299" s="206">
        <f>H300+H301+H302+H303+H304+H305+H306+H307+H308</f>
        <v>1828774.3</v>
      </c>
      <c r="I299" s="206">
        <f>I300+I301+I302+I303+I304+I305+I306+I307+I308</f>
        <v>1806986.2000000002</v>
      </c>
      <c r="J299" s="206">
        <f>J300+J301+J302+J303+J304+J305+J306+J307+J308</f>
        <v>2155361.21</v>
      </c>
      <c r="K299" s="205">
        <f t="shared" si="82"/>
        <v>348375.0099999998</v>
      </c>
      <c r="L299" s="150">
        <f t="shared" si="83"/>
        <v>119.27933982008273</v>
      </c>
      <c r="M299" s="344">
        <f>M300+M301+M302+M303+M304+M305+M306+M307+M308</f>
        <v>0</v>
      </c>
      <c r="N299" s="344">
        <f>N300+N301+N302+N303+N304+N305+N306+N307+N308</f>
        <v>0</v>
      </c>
      <c r="O299" s="206">
        <f>O300+O301+O302+O303+O304+O305+O306+O307+O308</f>
        <v>3379.865</v>
      </c>
      <c r="P299" s="205">
        <f t="shared" si="84"/>
        <v>3379.865</v>
      </c>
      <c r="Q299" s="342" t="e">
        <f t="shared" si="85"/>
        <v>#DIV/0!</v>
      </c>
    </row>
    <row r="300" spans="1:17" s="47" customFormat="1" ht="22.5" customHeight="1">
      <c r="A300" s="67" t="s">
        <v>88</v>
      </c>
      <c r="B300" s="56">
        <v>14221100</v>
      </c>
      <c r="C300" s="223">
        <f aca="true" t="shared" si="92" ref="C300:D305">H300+M300</f>
        <v>18238</v>
      </c>
      <c r="D300" s="223">
        <f t="shared" si="92"/>
        <v>18238</v>
      </c>
      <c r="E300" s="223">
        <f aca="true" t="shared" si="93" ref="E300:E305">J300+O300</f>
        <v>17276.608</v>
      </c>
      <c r="F300" s="224">
        <f t="shared" si="80"/>
        <v>-961.3919999999998</v>
      </c>
      <c r="G300" s="151">
        <f t="shared" si="81"/>
        <v>94.72863252549621</v>
      </c>
      <c r="H300" s="208">
        <v>18238</v>
      </c>
      <c r="I300" s="208">
        <v>18238</v>
      </c>
      <c r="J300" s="208">
        <v>17276.608</v>
      </c>
      <c r="K300" s="203">
        <f t="shared" si="82"/>
        <v>-961.3919999999998</v>
      </c>
      <c r="L300" s="151">
        <f t="shared" si="83"/>
        <v>94.72863252549621</v>
      </c>
      <c r="M300" s="208"/>
      <c r="N300" s="208"/>
      <c r="O300" s="208"/>
      <c r="P300" s="337">
        <f t="shared" si="84"/>
        <v>0</v>
      </c>
      <c r="Q300" s="338" t="e">
        <f t="shared" si="85"/>
        <v>#DIV/0!</v>
      </c>
    </row>
    <row r="301" spans="1:17" s="47" customFormat="1" ht="22.5" customHeight="1">
      <c r="A301" s="67" t="s">
        <v>89</v>
      </c>
      <c r="B301" s="56">
        <v>14221200</v>
      </c>
      <c r="C301" s="223">
        <f t="shared" si="92"/>
        <v>192384</v>
      </c>
      <c r="D301" s="223">
        <f t="shared" si="92"/>
        <v>198044</v>
      </c>
      <c r="E301" s="223">
        <f t="shared" si="93"/>
        <v>122687.992</v>
      </c>
      <c r="F301" s="224">
        <f t="shared" si="80"/>
        <v>-75356.008</v>
      </c>
      <c r="G301" s="151">
        <f t="shared" si="81"/>
        <v>61.94986568641312</v>
      </c>
      <c r="H301" s="208">
        <f>190044+2340</f>
        <v>192384</v>
      </c>
      <c r="I301" s="208">
        <f>190044+8000</f>
        <v>198044</v>
      </c>
      <c r="J301" s="208">
        <v>121682.497</v>
      </c>
      <c r="K301" s="203">
        <f t="shared" si="82"/>
        <v>-76361.503</v>
      </c>
      <c r="L301" s="151">
        <f t="shared" si="83"/>
        <v>61.44215275393346</v>
      </c>
      <c r="M301" s="208"/>
      <c r="N301" s="208"/>
      <c r="O301" s="208">
        <v>1005.495</v>
      </c>
      <c r="P301" s="203">
        <f t="shared" si="84"/>
        <v>1005.495</v>
      </c>
      <c r="Q301" s="338" t="e">
        <f t="shared" si="85"/>
        <v>#DIV/0!</v>
      </c>
    </row>
    <row r="302" spans="1:17" s="47" customFormat="1" ht="22.5" customHeight="1">
      <c r="A302" s="67" t="s">
        <v>90</v>
      </c>
      <c r="B302" s="56">
        <v>14221300</v>
      </c>
      <c r="C302" s="223">
        <f t="shared" si="92"/>
        <v>2820</v>
      </c>
      <c r="D302" s="223">
        <f t="shared" si="92"/>
        <v>2820</v>
      </c>
      <c r="E302" s="223">
        <f t="shared" si="93"/>
        <v>1</v>
      </c>
      <c r="F302" s="224">
        <f t="shared" si="80"/>
        <v>-2819</v>
      </c>
      <c r="G302" s="338">
        <f t="shared" si="81"/>
        <v>0.03546099290780142</v>
      </c>
      <c r="H302" s="208">
        <v>2820</v>
      </c>
      <c r="I302" s="208">
        <v>2820</v>
      </c>
      <c r="J302" s="208">
        <v>1</v>
      </c>
      <c r="K302" s="203">
        <f t="shared" si="82"/>
        <v>-2819</v>
      </c>
      <c r="L302" s="338">
        <f t="shared" si="83"/>
        <v>0.03546099290780142</v>
      </c>
      <c r="M302" s="208"/>
      <c r="N302" s="208"/>
      <c r="O302" s="208"/>
      <c r="P302" s="337">
        <f t="shared" si="84"/>
        <v>0</v>
      </c>
      <c r="Q302" s="338" t="e">
        <f t="shared" si="85"/>
        <v>#DIV/0!</v>
      </c>
    </row>
    <row r="303" spans="1:17" s="47" customFormat="1" ht="22.5" customHeight="1">
      <c r="A303" s="67" t="s">
        <v>26</v>
      </c>
      <c r="B303" s="56">
        <v>14221400</v>
      </c>
      <c r="C303" s="223">
        <f t="shared" si="92"/>
        <v>754789</v>
      </c>
      <c r="D303" s="223">
        <f t="shared" si="92"/>
        <v>467340.9</v>
      </c>
      <c r="E303" s="223">
        <f t="shared" si="93"/>
        <v>485572.884</v>
      </c>
      <c r="F303" s="224">
        <f t="shared" si="80"/>
        <v>18231.983999999997</v>
      </c>
      <c r="G303" s="151">
        <f t="shared" si="81"/>
        <v>103.90121729127495</v>
      </c>
      <c r="H303" s="208">
        <v>754789</v>
      </c>
      <c r="I303" s="208">
        <v>467340.9</v>
      </c>
      <c r="J303" s="208">
        <v>485572.884</v>
      </c>
      <c r="K303" s="203">
        <f t="shared" si="82"/>
        <v>18231.983999999997</v>
      </c>
      <c r="L303" s="151">
        <f t="shared" si="83"/>
        <v>103.90121729127495</v>
      </c>
      <c r="M303" s="208"/>
      <c r="N303" s="208"/>
      <c r="O303" s="208"/>
      <c r="P303" s="337">
        <f t="shared" si="84"/>
        <v>0</v>
      </c>
      <c r="Q303" s="338" t="e">
        <f t="shared" si="85"/>
        <v>#DIV/0!</v>
      </c>
    </row>
    <row r="304" spans="1:17" s="47" customFormat="1" ht="22.5" customHeight="1">
      <c r="A304" s="67" t="s">
        <v>362</v>
      </c>
      <c r="B304" s="56">
        <v>14221500</v>
      </c>
      <c r="C304" s="223">
        <f t="shared" si="92"/>
        <v>860543.3</v>
      </c>
      <c r="D304" s="223">
        <f t="shared" si="92"/>
        <v>660543.3</v>
      </c>
      <c r="E304" s="223">
        <f t="shared" si="93"/>
        <v>586969.466</v>
      </c>
      <c r="F304" s="224">
        <f t="shared" si="80"/>
        <v>-73573.83400000003</v>
      </c>
      <c r="G304" s="151">
        <f t="shared" si="81"/>
        <v>88.86161830723285</v>
      </c>
      <c r="H304" s="208">
        <v>860543.3</v>
      </c>
      <c r="I304" s="208">
        <v>660543.3</v>
      </c>
      <c r="J304" s="208">
        <v>586969.466</v>
      </c>
      <c r="K304" s="203">
        <f t="shared" si="82"/>
        <v>-73573.83400000003</v>
      </c>
      <c r="L304" s="151">
        <f t="shared" si="83"/>
        <v>88.86161830723285</v>
      </c>
      <c r="M304" s="208"/>
      <c r="N304" s="208"/>
      <c r="O304" s="208"/>
      <c r="P304" s="337">
        <f t="shared" si="84"/>
        <v>0</v>
      </c>
      <c r="Q304" s="338" t="e">
        <f t="shared" si="85"/>
        <v>#DIV/0!</v>
      </c>
    </row>
    <row r="305" spans="1:17" s="47" customFormat="1" ht="22.5" customHeight="1">
      <c r="A305" s="67" t="s">
        <v>530</v>
      </c>
      <c r="B305" s="56">
        <v>14221600</v>
      </c>
      <c r="C305" s="339">
        <f t="shared" si="92"/>
        <v>0</v>
      </c>
      <c r="D305" s="223">
        <f t="shared" si="92"/>
        <v>210000</v>
      </c>
      <c r="E305" s="223">
        <f t="shared" si="93"/>
        <v>207333.19</v>
      </c>
      <c r="F305" s="224">
        <f t="shared" si="80"/>
        <v>-2666.8099999999977</v>
      </c>
      <c r="G305" s="151">
        <f t="shared" si="81"/>
        <v>98.73009047619048</v>
      </c>
      <c r="H305" s="208"/>
      <c r="I305" s="208">
        <v>210000</v>
      </c>
      <c r="J305" s="208">
        <v>207333.19</v>
      </c>
      <c r="K305" s="203">
        <f t="shared" si="82"/>
        <v>-2666.8099999999977</v>
      </c>
      <c r="L305" s="151">
        <f t="shared" si="83"/>
        <v>98.73009047619048</v>
      </c>
      <c r="M305" s="208"/>
      <c r="N305" s="208"/>
      <c r="O305" s="208"/>
      <c r="P305" s="337">
        <f t="shared" si="84"/>
        <v>0</v>
      </c>
      <c r="Q305" s="338" t="e">
        <f t="shared" si="85"/>
        <v>#DIV/0!</v>
      </c>
    </row>
    <row r="306" spans="1:17" s="47" customFormat="1" ht="22.5" customHeight="1">
      <c r="A306" s="67" t="s">
        <v>531</v>
      </c>
      <c r="B306" s="56">
        <v>14221700</v>
      </c>
      <c r="C306" s="339">
        <f aca="true" t="shared" si="94" ref="C306:E308">H306+M306</f>
        <v>0</v>
      </c>
      <c r="D306" s="223">
        <f t="shared" si="94"/>
        <v>250000</v>
      </c>
      <c r="E306" s="223">
        <f t="shared" si="94"/>
        <v>251284.913</v>
      </c>
      <c r="F306" s="224">
        <f t="shared" si="80"/>
        <v>1284.9130000000005</v>
      </c>
      <c r="G306" s="151">
        <f t="shared" si="81"/>
        <v>100.5139652</v>
      </c>
      <c r="H306" s="202"/>
      <c r="I306" s="202">
        <v>250000</v>
      </c>
      <c r="J306" s="208">
        <v>251284.913</v>
      </c>
      <c r="K306" s="203">
        <f t="shared" si="82"/>
        <v>1284.9130000000005</v>
      </c>
      <c r="L306" s="151">
        <f t="shared" si="83"/>
        <v>100.5139652</v>
      </c>
      <c r="M306" s="208"/>
      <c r="N306" s="208"/>
      <c r="O306" s="208"/>
      <c r="P306" s="337">
        <f t="shared" si="84"/>
        <v>0</v>
      </c>
      <c r="Q306" s="338" t="e">
        <f t="shared" si="85"/>
        <v>#DIV/0!</v>
      </c>
    </row>
    <row r="307" spans="1:17" s="47" customFormat="1" ht="22.5" customHeight="1" hidden="1">
      <c r="A307" s="67" t="s">
        <v>351</v>
      </c>
      <c r="B307" s="56">
        <v>14221800</v>
      </c>
      <c r="C307" s="223">
        <f t="shared" si="94"/>
        <v>0</v>
      </c>
      <c r="D307" s="223">
        <f t="shared" si="94"/>
        <v>0</v>
      </c>
      <c r="E307" s="223">
        <f t="shared" si="94"/>
        <v>0</v>
      </c>
      <c r="F307" s="224">
        <f t="shared" si="80"/>
        <v>0</v>
      </c>
      <c r="G307" s="151" t="e">
        <f t="shared" si="81"/>
        <v>#DIV/0!</v>
      </c>
      <c r="H307" s="208"/>
      <c r="I307" s="208"/>
      <c r="J307" s="208"/>
      <c r="K307" s="203">
        <f t="shared" si="82"/>
        <v>0</v>
      </c>
      <c r="L307" s="151" t="e">
        <f t="shared" si="83"/>
        <v>#DIV/0!</v>
      </c>
      <c r="M307" s="208"/>
      <c r="N307" s="208"/>
      <c r="O307" s="208"/>
      <c r="P307" s="203">
        <f t="shared" si="84"/>
        <v>0</v>
      </c>
      <c r="Q307" s="151" t="e">
        <f t="shared" si="85"/>
        <v>#DIV/0!</v>
      </c>
    </row>
    <row r="308" spans="1:17" s="47" customFormat="1" ht="22.5" customHeight="1">
      <c r="A308" s="67" t="s">
        <v>532</v>
      </c>
      <c r="B308" s="56">
        <v>14221900</v>
      </c>
      <c r="C308" s="339">
        <f t="shared" si="94"/>
        <v>0</v>
      </c>
      <c r="D308" s="339">
        <f t="shared" si="94"/>
        <v>0</v>
      </c>
      <c r="E308" s="223">
        <f t="shared" si="94"/>
        <v>487615.022</v>
      </c>
      <c r="F308" s="224">
        <f t="shared" si="80"/>
        <v>487615.022</v>
      </c>
      <c r="G308" s="338" t="e">
        <f t="shared" si="81"/>
        <v>#DIV/0!</v>
      </c>
      <c r="H308" s="208"/>
      <c r="I308" s="208"/>
      <c r="J308" s="208">
        <v>485240.652</v>
      </c>
      <c r="K308" s="203">
        <f t="shared" si="82"/>
        <v>485240.652</v>
      </c>
      <c r="L308" s="338" t="e">
        <f t="shared" si="83"/>
        <v>#DIV/0!</v>
      </c>
      <c r="M308" s="208"/>
      <c r="N308" s="208"/>
      <c r="O308" s="208">
        <v>2374.37</v>
      </c>
      <c r="P308" s="203">
        <f t="shared" si="84"/>
        <v>2374.37</v>
      </c>
      <c r="Q308" s="338" t="e">
        <f t="shared" si="85"/>
        <v>#DIV/0!</v>
      </c>
    </row>
    <row r="309" spans="1:17" s="46" customFormat="1" ht="22.5" customHeight="1">
      <c r="A309" s="66" t="s">
        <v>91</v>
      </c>
      <c r="B309" s="65">
        <v>14222</v>
      </c>
      <c r="C309" s="227">
        <f>C310+C311+C312+C313+C314</f>
        <v>244295.5</v>
      </c>
      <c r="D309" s="227">
        <f>D310+D311+D312+D313+D314</f>
        <v>274295.5</v>
      </c>
      <c r="E309" s="227">
        <f>E310+E311+E312+E313+E314</f>
        <v>369898.006</v>
      </c>
      <c r="F309" s="226">
        <f t="shared" si="80"/>
        <v>95602.506</v>
      </c>
      <c r="G309" s="150">
        <f t="shared" si="81"/>
        <v>134.85383682925897</v>
      </c>
      <c r="H309" s="206">
        <f>H310+H311+H312+H313+H314</f>
        <v>244295.5</v>
      </c>
      <c r="I309" s="206">
        <f>I310+I311+I312+I313+I314</f>
        <v>274295.5</v>
      </c>
      <c r="J309" s="206">
        <f>J310+J311+J312+J313+J314</f>
        <v>369897.84500000003</v>
      </c>
      <c r="K309" s="205">
        <f t="shared" si="82"/>
        <v>95602.34500000003</v>
      </c>
      <c r="L309" s="150">
        <f t="shared" si="83"/>
        <v>134.8537781334364</v>
      </c>
      <c r="M309" s="344">
        <f>M310+M311+M312+M313+M314</f>
        <v>0</v>
      </c>
      <c r="N309" s="344">
        <f>N310+N311+N312+N313+N314</f>
        <v>0</v>
      </c>
      <c r="O309" s="206">
        <f>O310+O311+O312+O313+O314</f>
        <v>0.161</v>
      </c>
      <c r="P309" s="205">
        <f t="shared" si="84"/>
        <v>0.161</v>
      </c>
      <c r="Q309" s="342" t="e">
        <f t="shared" si="85"/>
        <v>#DIV/0!</v>
      </c>
    </row>
    <row r="310" spans="1:17" s="47" customFormat="1" ht="22.5" customHeight="1">
      <c r="A310" s="67" t="s">
        <v>373</v>
      </c>
      <c r="B310" s="55" t="s">
        <v>92</v>
      </c>
      <c r="C310" s="223">
        <f aca="true" t="shared" si="95" ref="C310:E314">H310+M310</f>
        <v>36670.5</v>
      </c>
      <c r="D310" s="223">
        <f t="shared" si="95"/>
        <v>36670.5</v>
      </c>
      <c r="E310" s="223">
        <f t="shared" si="95"/>
        <v>7225.146</v>
      </c>
      <c r="F310" s="224">
        <f t="shared" si="80"/>
        <v>-29445.354</v>
      </c>
      <c r="G310" s="151">
        <f t="shared" si="81"/>
        <v>19.702883789422014</v>
      </c>
      <c r="H310" s="208">
        <v>36670.5</v>
      </c>
      <c r="I310" s="208">
        <v>36670.5</v>
      </c>
      <c r="J310" s="208">
        <v>7225.146</v>
      </c>
      <c r="K310" s="203">
        <f t="shared" si="82"/>
        <v>-29445.354</v>
      </c>
      <c r="L310" s="151">
        <f t="shared" si="83"/>
        <v>19.702883789422014</v>
      </c>
      <c r="M310" s="208"/>
      <c r="N310" s="208"/>
      <c r="O310" s="208"/>
      <c r="P310" s="337">
        <f t="shared" si="84"/>
        <v>0</v>
      </c>
      <c r="Q310" s="338" t="e">
        <f t="shared" si="85"/>
        <v>#DIV/0!</v>
      </c>
    </row>
    <row r="311" spans="1:17" s="54" customFormat="1" ht="22.5" customHeight="1">
      <c r="A311" s="67" t="s">
        <v>93</v>
      </c>
      <c r="B311" s="55">
        <v>14222200</v>
      </c>
      <c r="C311" s="223">
        <f t="shared" si="95"/>
        <v>171750</v>
      </c>
      <c r="D311" s="223">
        <f t="shared" si="95"/>
        <v>171750</v>
      </c>
      <c r="E311" s="223">
        <f t="shared" si="95"/>
        <v>158740.765</v>
      </c>
      <c r="F311" s="224">
        <f t="shared" si="80"/>
        <v>-13009.234999999986</v>
      </c>
      <c r="G311" s="151">
        <f t="shared" si="81"/>
        <v>92.42548180494906</v>
      </c>
      <c r="H311" s="208">
        <v>171750</v>
      </c>
      <c r="I311" s="208">
        <v>171750</v>
      </c>
      <c r="J311" s="208">
        <v>158740.765</v>
      </c>
      <c r="K311" s="203">
        <f t="shared" si="82"/>
        <v>-13009.234999999986</v>
      </c>
      <c r="L311" s="151">
        <f t="shared" si="83"/>
        <v>92.42548180494906</v>
      </c>
      <c r="M311" s="208"/>
      <c r="N311" s="208"/>
      <c r="O311" s="208"/>
      <c r="P311" s="337">
        <f t="shared" si="84"/>
        <v>0</v>
      </c>
      <c r="Q311" s="338" t="e">
        <f t="shared" si="85"/>
        <v>#DIV/0!</v>
      </c>
    </row>
    <row r="312" spans="1:17" s="47" customFormat="1" ht="22.5" customHeight="1">
      <c r="A312" s="67" t="s">
        <v>95</v>
      </c>
      <c r="B312" s="55" t="s">
        <v>94</v>
      </c>
      <c r="C312" s="223">
        <f t="shared" si="95"/>
        <v>35875</v>
      </c>
      <c r="D312" s="223">
        <f t="shared" si="95"/>
        <v>65875</v>
      </c>
      <c r="E312" s="223">
        <f t="shared" si="95"/>
        <v>128572.714</v>
      </c>
      <c r="F312" s="224">
        <f t="shared" si="80"/>
        <v>62697.71400000001</v>
      </c>
      <c r="G312" s="151">
        <f t="shared" si="81"/>
        <v>195.1767954459203</v>
      </c>
      <c r="H312" s="208">
        <v>35875</v>
      </c>
      <c r="I312" s="208">
        <v>65875</v>
      </c>
      <c r="J312" s="208">
        <v>128572.714</v>
      </c>
      <c r="K312" s="203">
        <f t="shared" si="82"/>
        <v>62697.71400000001</v>
      </c>
      <c r="L312" s="151">
        <f t="shared" si="83"/>
        <v>195.1767954459203</v>
      </c>
      <c r="M312" s="208"/>
      <c r="N312" s="208"/>
      <c r="O312" s="208"/>
      <c r="P312" s="337">
        <f t="shared" si="84"/>
        <v>0</v>
      </c>
      <c r="Q312" s="338" t="e">
        <f t="shared" si="85"/>
        <v>#DIV/0!</v>
      </c>
    </row>
    <row r="313" spans="1:17" s="47" customFormat="1" ht="22.5" customHeight="1">
      <c r="A313" s="67" t="s">
        <v>352</v>
      </c>
      <c r="B313" s="55">
        <v>14222400</v>
      </c>
      <c r="C313" s="339">
        <f t="shared" si="95"/>
        <v>0</v>
      </c>
      <c r="D313" s="339">
        <f t="shared" si="95"/>
        <v>0</v>
      </c>
      <c r="E313" s="223">
        <f t="shared" si="95"/>
        <v>74402.358</v>
      </c>
      <c r="F313" s="224">
        <f t="shared" si="80"/>
        <v>74402.358</v>
      </c>
      <c r="G313" s="338" t="e">
        <f t="shared" si="81"/>
        <v>#DIV/0!</v>
      </c>
      <c r="H313" s="208"/>
      <c r="I313" s="208"/>
      <c r="J313" s="208">
        <v>74402.358</v>
      </c>
      <c r="K313" s="203">
        <f t="shared" si="82"/>
        <v>74402.358</v>
      </c>
      <c r="L313" s="338" t="e">
        <f t="shared" si="83"/>
        <v>#DIV/0!</v>
      </c>
      <c r="M313" s="208"/>
      <c r="N313" s="208"/>
      <c r="O313" s="208"/>
      <c r="P313" s="337">
        <f t="shared" si="84"/>
        <v>0</v>
      </c>
      <c r="Q313" s="338" t="e">
        <f t="shared" si="85"/>
        <v>#DIV/0!</v>
      </c>
    </row>
    <row r="314" spans="1:17" s="47" customFormat="1" ht="22.5" customHeight="1">
      <c r="A314" s="67" t="s">
        <v>374</v>
      </c>
      <c r="B314" s="55">
        <v>14222500</v>
      </c>
      <c r="C314" s="339">
        <f t="shared" si="95"/>
        <v>0</v>
      </c>
      <c r="D314" s="339">
        <f t="shared" si="95"/>
        <v>0</v>
      </c>
      <c r="E314" s="223">
        <f t="shared" si="95"/>
        <v>957.0229999999999</v>
      </c>
      <c r="F314" s="224">
        <f t="shared" si="80"/>
        <v>957.0229999999999</v>
      </c>
      <c r="G314" s="338" t="e">
        <f t="shared" si="81"/>
        <v>#DIV/0!</v>
      </c>
      <c r="H314" s="208"/>
      <c r="I314" s="208"/>
      <c r="J314" s="208">
        <v>956.862</v>
      </c>
      <c r="K314" s="203">
        <f t="shared" si="82"/>
        <v>956.862</v>
      </c>
      <c r="L314" s="338" t="e">
        <f t="shared" si="83"/>
        <v>#DIV/0!</v>
      </c>
      <c r="M314" s="208"/>
      <c r="N314" s="208"/>
      <c r="O314" s="208">
        <v>0.161</v>
      </c>
      <c r="P314" s="203">
        <f t="shared" si="84"/>
        <v>0.161</v>
      </c>
      <c r="Q314" s="338" t="e">
        <f t="shared" si="85"/>
        <v>#DIV/0!</v>
      </c>
    </row>
    <row r="315" spans="1:17" s="49" customFormat="1" ht="22.5" customHeight="1">
      <c r="A315" s="66" t="s">
        <v>533</v>
      </c>
      <c r="B315" s="58">
        <v>14224</v>
      </c>
      <c r="C315" s="227">
        <f>C316+C317+C318</f>
        <v>58755</v>
      </c>
      <c r="D315" s="227">
        <f>D316+D317+D318</f>
        <v>58755</v>
      </c>
      <c r="E315" s="227">
        <f>E316+E317+E318</f>
        <v>60562.129</v>
      </c>
      <c r="F315" s="226">
        <f t="shared" si="80"/>
        <v>1807.1290000000008</v>
      </c>
      <c r="G315" s="150">
        <f t="shared" si="81"/>
        <v>103.0757024934048</v>
      </c>
      <c r="H315" s="344">
        <f>H316+H317+H318</f>
        <v>0</v>
      </c>
      <c r="I315" s="344">
        <f>I316+I317+I318</f>
        <v>0</v>
      </c>
      <c r="J315" s="206">
        <f>J316+J317+J318</f>
        <v>1.872</v>
      </c>
      <c r="K315" s="205">
        <f t="shared" si="82"/>
        <v>1.872</v>
      </c>
      <c r="L315" s="342" t="e">
        <f t="shared" si="83"/>
        <v>#DIV/0!</v>
      </c>
      <c r="M315" s="206">
        <f>M316+M317+M318</f>
        <v>58755</v>
      </c>
      <c r="N315" s="206">
        <f>N316+N317+N318</f>
        <v>58755</v>
      </c>
      <c r="O315" s="206">
        <f>O316+O317+O318</f>
        <v>60560.257</v>
      </c>
      <c r="P315" s="205">
        <f t="shared" si="84"/>
        <v>1805.2569999999978</v>
      </c>
      <c r="Q315" s="150">
        <f t="shared" si="85"/>
        <v>103.07251638158455</v>
      </c>
    </row>
    <row r="316" spans="1:17" s="47" customFormat="1" ht="22.5" customHeight="1">
      <c r="A316" s="67" t="s">
        <v>534</v>
      </c>
      <c r="B316" s="55">
        <v>14224100</v>
      </c>
      <c r="C316" s="339">
        <f aca="true" t="shared" si="96" ref="C316:E318">H316+M316</f>
        <v>0</v>
      </c>
      <c r="D316" s="339">
        <f t="shared" si="96"/>
        <v>0</v>
      </c>
      <c r="E316" s="223">
        <f t="shared" si="96"/>
        <v>1.872</v>
      </c>
      <c r="F316" s="224">
        <f t="shared" si="80"/>
        <v>1.872</v>
      </c>
      <c r="G316" s="338" t="e">
        <f t="shared" si="81"/>
        <v>#DIV/0!</v>
      </c>
      <c r="H316" s="208"/>
      <c r="I316" s="208"/>
      <c r="J316" s="208">
        <v>1.872</v>
      </c>
      <c r="K316" s="203">
        <f t="shared" si="82"/>
        <v>1.872</v>
      </c>
      <c r="L316" s="338" t="e">
        <f t="shared" si="83"/>
        <v>#DIV/0!</v>
      </c>
      <c r="M316" s="208"/>
      <c r="N316" s="208"/>
      <c r="O316" s="208"/>
      <c r="P316" s="337">
        <f t="shared" si="84"/>
        <v>0</v>
      </c>
      <c r="Q316" s="338" t="e">
        <f t="shared" si="85"/>
        <v>#DIV/0!</v>
      </c>
    </row>
    <row r="317" spans="1:17" s="47" customFormat="1" ht="22.5" customHeight="1">
      <c r="A317" s="67" t="s">
        <v>350</v>
      </c>
      <c r="B317" s="55">
        <v>14224200</v>
      </c>
      <c r="C317" s="223">
        <f t="shared" si="96"/>
        <v>51255</v>
      </c>
      <c r="D317" s="223">
        <f t="shared" si="96"/>
        <v>51255</v>
      </c>
      <c r="E317" s="223">
        <f t="shared" si="96"/>
        <v>51704.184</v>
      </c>
      <c r="F317" s="224">
        <f t="shared" si="80"/>
        <v>449.1840000000011</v>
      </c>
      <c r="G317" s="151">
        <f t="shared" si="81"/>
        <v>100.87637108574773</v>
      </c>
      <c r="H317" s="208"/>
      <c r="I317" s="208"/>
      <c r="J317" s="208"/>
      <c r="K317" s="337">
        <f t="shared" si="82"/>
        <v>0</v>
      </c>
      <c r="L317" s="338" t="e">
        <f t="shared" si="83"/>
        <v>#DIV/0!</v>
      </c>
      <c r="M317" s="208">
        <v>51255</v>
      </c>
      <c r="N317" s="208">
        <v>51255</v>
      </c>
      <c r="O317" s="208">
        <v>51704.184</v>
      </c>
      <c r="P317" s="203">
        <f t="shared" si="84"/>
        <v>449.1840000000011</v>
      </c>
      <c r="Q317" s="151">
        <f t="shared" si="85"/>
        <v>100.87637108574773</v>
      </c>
    </row>
    <row r="318" spans="1:17" s="47" customFormat="1" ht="22.5" customHeight="1">
      <c r="A318" s="67" t="s">
        <v>351</v>
      </c>
      <c r="B318" s="55">
        <v>14224300</v>
      </c>
      <c r="C318" s="223">
        <f t="shared" si="96"/>
        <v>7500</v>
      </c>
      <c r="D318" s="223">
        <f t="shared" si="96"/>
        <v>7500</v>
      </c>
      <c r="E318" s="223">
        <f t="shared" si="96"/>
        <v>8856.073</v>
      </c>
      <c r="F318" s="224">
        <f t="shared" si="80"/>
        <v>1356.0730000000003</v>
      </c>
      <c r="G318" s="151">
        <f t="shared" si="81"/>
        <v>118.08097333333333</v>
      </c>
      <c r="H318" s="208"/>
      <c r="I318" s="208"/>
      <c r="J318" s="208"/>
      <c r="K318" s="337">
        <f t="shared" si="82"/>
        <v>0</v>
      </c>
      <c r="L318" s="338" t="e">
        <f t="shared" si="83"/>
        <v>#DIV/0!</v>
      </c>
      <c r="M318" s="208">
        <v>7500</v>
      </c>
      <c r="N318" s="208">
        <v>7500</v>
      </c>
      <c r="O318" s="208">
        <v>8856.073</v>
      </c>
      <c r="P318" s="203">
        <f t="shared" si="84"/>
        <v>1356.0730000000003</v>
      </c>
      <c r="Q318" s="151">
        <f t="shared" si="85"/>
        <v>118.08097333333333</v>
      </c>
    </row>
    <row r="319" spans="1:17" s="45" customFormat="1" ht="22.5" customHeight="1">
      <c r="A319" s="66" t="s">
        <v>96</v>
      </c>
      <c r="B319" s="65">
        <v>1423</v>
      </c>
      <c r="C319" s="228">
        <f aca="true" t="shared" si="97" ref="C319:D329">H319+M319</f>
        <v>9640672.1</v>
      </c>
      <c r="D319" s="228">
        <f t="shared" si="97"/>
        <v>11235882</v>
      </c>
      <c r="E319" s="229">
        <f>E320+E330+E340+E347+E356+E364+E372+E381+E390</f>
        <v>9674965.249</v>
      </c>
      <c r="F319" s="226">
        <f t="shared" si="80"/>
        <v>-1560916.7510000002</v>
      </c>
      <c r="G319" s="150">
        <f t="shared" si="81"/>
        <v>86.10775058869433</v>
      </c>
      <c r="H319" s="210">
        <v>8685238.1</v>
      </c>
      <c r="I319" s="210">
        <v>10125533.5</v>
      </c>
      <c r="J319" s="210">
        <f>J320+J330+J340+J347+J356+J364+J372+J381+J390</f>
        <v>8643742.737999998</v>
      </c>
      <c r="K319" s="205">
        <f t="shared" si="82"/>
        <v>-1481790.762000002</v>
      </c>
      <c r="L319" s="150">
        <f t="shared" si="83"/>
        <v>85.36580060695071</v>
      </c>
      <c r="M319" s="210">
        <v>955434</v>
      </c>
      <c r="N319" s="210">
        <v>1110348.5</v>
      </c>
      <c r="O319" s="210">
        <f>O320+O330+O340+O347+O356+O364+O372+O381+O390</f>
        <v>1031222.5109999999</v>
      </c>
      <c r="P319" s="205">
        <f t="shared" si="84"/>
        <v>-79125.98900000006</v>
      </c>
      <c r="Q319" s="150">
        <f t="shared" si="85"/>
        <v>92.87376990197221</v>
      </c>
    </row>
    <row r="320" spans="1:17" s="46" customFormat="1" ht="22.5" customHeight="1">
      <c r="A320" s="66" t="s">
        <v>375</v>
      </c>
      <c r="B320" s="65">
        <v>14231</v>
      </c>
      <c r="C320" s="348">
        <f>C321+C322+C323+C324+C325+C326+C327+C328+C329</f>
        <v>0</v>
      </c>
      <c r="D320" s="348">
        <f>D321+D322+D323+D324+D325+D326+D327+D328+D329</f>
        <v>0</v>
      </c>
      <c r="E320" s="227">
        <f>E321+E322+E323+E324+E325+E326+E327+E328+E329</f>
        <v>1247078.533</v>
      </c>
      <c r="F320" s="226">
        <f t="shared" si="80"/>
        <v>1247078.533</v>
      </c>
      <c r="G320" s="342" t="e">
        <f t="shared" si="81"/>
        <v>#DIV/0!</v>
      </c>
      <c r="H320" s="344">
        <f>H321+H322+H323+H324+H325+H326+H327+H328+H329</f>
        <v>0</v>
      </c>
      <c r="I320" s="344">
        <f>I321+I322+I323+I324+I325+I326+I327+I328+I329</f>
        <v>0</v>
      </c>
      <c r="J320" s="206">
        <f>J321+J322+J323+J324+J325+J326+J327+J328+J329</f>
        <v>1245002.796</v>
      </c>
      <c r="K320" s="205">
        <f t="shared" si="82"/>
        <v>1245002.796</v>
      </c>
      <c r="L320" s="342" t="e">
        <f t="shared" si="83"/>
        <v>#DIV/0!</v>
      </c>
      <c r="M320" s="344">
        <f>M321+M322+M323+M324+M325+M326+M327+M328+M329</f>
        <v>0</v>
      </c>
      <c r="N320" s="344">
        <f>N321+N322+N323+N324+N325+N326+N327+N328+N329</f>
        <v>0</v>
      </c>
      <c r="O320" s="206">
        <f>O321+O322+O323+O324+O325+O326+O327+O328+O329</f>
        <v>2075.737</v>
      </c>
      <c r="P320" s="205">
        <f t="shared" si="84"/>
        <v>2075.737</v>
      </c>
      <c r="Q320" s="342" t="e">
        <f t="shared" si="85"/>
        <v>#DIV/0!</v>
      </c>
    </row>
    <row r="321" spans="1:17" s="47" customFormat="1" ht="22.5" customHeight="1">
      <c r="A321" s="67" t="s">
        <v>376</v>
      </c>
      <c r="B321" s="55" t="s">
        <v>97</v>
      </c>
      <c r="C321" s="339">
        <f t="shared" si="97"/>
        <v>0</v>
      </c>
      <c r="D321" s="339">
        <f aca="true" t="shared" si="98" ref="D321:D329">I321+N321</f>
        <v>0</v>
      </c>
      <c r="E321" s="223">
        <f aca="true" t="shared" si="99" ref="E321:E329">J321+O321</f>
        <v>150969.417</v>
      </c>
      <c r="F321" s="224">
        <f t="shared" si="80"/>
        <v>150969.417</v>
      </c>
      <c r="G321" s="338" t="e">
        <f t="shared" si="81"/>
        <v>#DIV/0!</v>
      </c>
      <c r="H321" s="208"/>
      <c r="I321" s="208"/>
      <c r="J321" s="208">
        <v>150969.417</v>
      </c>
      <c r="K321" s="203">
        <f t="shared" si="82"/>
        <v>150969.417</v>
      </c>
      <c r="L321" s="338" t="e">
        <f t="shared" si="83"/>
        <v>#DIV/0!</v>
      </c>
      <c r="M321" s="208"/>
      <c r="N321" s="208"/>
      <c r="O321" s="208"/>
      <c r="P321" s="337">
        <f t="shared" si="84"/>
        <v>0</v>
      </c>
      <c r="Q321" s="338" t="e">
        <f t="shared" si="85"/>
        <v>#DIV/0!</v>
      </c>
    </row>
    <row r="322" spans="1:17" s="47" customFormat="1" ht="22.5" customHeight="1">
      <c r="A322" s="67" t="s">
        <v>377</v>
      </c>
      <c r="B322" s="55" t="s">
        <v>98</v>
      </c>
      <c r="C322" s="339">
        <f t="shared" si="97"/>
        <v>0</v>
      </c>
      <c r="D322" s="339">
        <f t="shared" si="98"/>
        <v>0</v>
      </c>
      <c r="E322" s="223">
        <f t="shared" si="99"/>
        <v>17929.339</v>
      </c>
      <c r="F322" s="224">
        <f t="shared" si="80"/>
        <v>17929.339</v>
      </c>
      <c r="G322" s="338" t="e">
        <f t="shared" si="81"/>
        <v>#DIV/0!</v>
      </c>
      <c r="H322" s="208"/>
      <c r="I322" s="208"/>
      <c r="J322" s="208">
        <v>17929.339</v>
      </c>
      <c r="K322" s="203">
        <f t="shared" si="82"/>
        <v>17929.339</v>
      </c>
      <c r="L322" s="338" t="e">
        <f t="shared" si="83"/>
        <v>#DIV/0!</v>
      </c>
      <c r="M322" s="208"/>
      <c r="N322" s="208"/>
      <c r="O322" s="208"/>
      <c r="P322" s="337">
        <f t="shared" si="84"/>
        <v>0</v>
      </c>
      <c r="Q322" s="338" t="e">
        <f t="shared" si="85"/>
        <v>#DIV/0!</v>
      </c>
    </row>
    <row r="323" spans="1:17" s="47" customFormat="1" ht="22.5" customHeight="1">
      <c r="A323" s="67" t="s">
        <v>378</v>
      </c>
      <c r="B323" s="55" t="s">
        <v>99</v>
      </c>
      <c r="C323" s="339">
        <f t="shared" si="97"/>
        <v>0</v>
      </c>
      <c r="D323" s="339">
        <f t="shared" si="98"/>
        <v>0</v>
      </c>
      <c r="E323" s="223">
        <f t="shared" si="99"/>
        <v>67849.78</v>
      </c>
      <c r="F323" s="224">
        <f t="shared" si="80"/>
        <v>67849.78</v>
      </c>
      <c r="G323" s="338" t="e">
        <f t="shared" si="81"/>
        <v>#DIV/0!</v>
      </c>
      <c r="H323" s="208"/>
      <c r="I323" s="208"/>
      <c r="J323" s="208">
        <v>67849.58</v>
      </c>
      <c r="K323" s="203">
        <f t="shared" si="82"/>
        <v>67849.58</v>
      </c>
      <c r="L323" s="338" t="e">
        <f t="shared" si="83"/>
        <v>#DIV/0!</v>
      </c>
      <c r="M323" s="208"/>
      <c r="N323" s="208"/>
      <c r="O323" s="208">
        <v>0.2</v>
      </c>
      <c r="P323" s="203">
        <f t="shared" si="84"/>
        <v>0.2</v>
      </c>
      <c r="Q323" s="338" t="e">
        <f t="shared" si="85"/>
        <v>#DIV/0!</v>
      </c>
    </row>
    <row r="324" spans="1:17" s="47" customFormat="1" ht="27" customHeight="1">
      <c r="A324" s="67" t="s">
        <v>379</v>
      </c>
      <c r="B324" s="55" t="s">
        <v>100</v>
      </c>
      <c r="C324" s="339">
        <f t="shared" si="97"/>
        <v>0</v>
      </c>
      <c r="D324" s="339">
        <f t="shared" si="98"/>
        <v>0</v>
      </c>
      <c r="E324" s="223">
        <f t="shared" si="99"/>
        <v>210091.726</v>
      </c>
      <c r="F324" s="224">
        <f t="shared" si="80"/>
        <v>210091.726</v>
      </c>
      <c r="G324" s="338" t="e">
        <f t="shared" si="81"/>
        <v>#DIV/0!</v>
      </c>
      <c r="H324" s="208"/>
      <c r="I324" s="208"/>
      <c r="J324" s="208">
        <v>209695.847</v>
      </c>
      <c r="K324" s="203">
        <f t="shared" si="82"/>
        <v>209695.847</v>
      </c>
      <c r="L324" s="338" t="e">
        <f t="shared" si="83"/>
        <v>#DIV/0!</v>
      </c>
      <c r="M324" s="208"/>
      <c r="N324" s="208"/>
      <c r="O324" s="208">
        <v>395.879</v>
      </c>
      <c r="P324" s="203">
        <f t="shared" si="84"/>
        <v>395.879</v>
      </c>
      <c r="Q324" s="338" t="e">
        <f t="shared" si="85"/>
        <v>#DIV/0!</v>
      </c>
    </row>
    <row r="325" spans="1:17" s="47" customFormat="1" ht="27" customHeight="1">
      <c r="A325" s="67" t="s">
        <v>360</v>
      </c>
      <c r="B325" s="55">
        <v>14231500</v>
      </c>
      <c r="C325" s="339">
        <f t="shared" si="97"/>
        <v>0</v>
      </c>
      <c r="D325" s="339">
        <f t="shared" si="98"/>
        <v>0</v>
      </c>
      <c r="E325" s="223">
        <f t="shared" si="99"/>
        <v>474847.002</v>
      </c>
      <c r="F325" s="224">
        <f t="shared" si="80"/>
        <v>474847.002</v>
      </c>
      <c r="G325" s="338" t="e">
        <f t="shared" si="81"/>
        <v>#DIV/0!</v>
      </c>
      <c r="H325" s="208"/>
      <c r="I325" s="208"/>
      <c r="J325" s="208">
        <v>474836.002</v>
      </c>
      <c r="K325" s="203">
        <f t="shared" si="82"/>
        <v>474836.002</v>
      </c>
      <c r="L325" s="338" t="e">
        <f t="shared" si="83"/>
        <v>#DIV/0!</v>
      </c>
      <c r="M325" s="208"/>
      <c r="N325" s="208"/>
      <c r="O325" s="208">
        <v>11</v>
      </c>
      <c r="P325" s="203">
        <f t="shared" si="84"/>
        <v>11</v>
      </c>
      <c r="Q325" s="338" t="e">
        <f t="shared" si="85"/>
        <v>#DIV/0!</v>
      </c>
    </row>
    <row r="326" spans="1:17" s="47" customFormat="1" ht="27" customHeight="1">
      <c r="A326" s="67" t="s">
        <v>380</v>
      </c>
      <c r="B326" s="55">
        <v>14231600</v>
      </c>
      <c r="C326" s="339">
        <f t="shared" si="97"/>
        <v>0</v>
      </c>
      <c r="D326" s="339">
        <f t="shared" si="98"/>
        <v>0</v>
      </c>
      <c r="E326" s="223">
        <f t="shared" si="99"/>
        <v>76336.543</v>
      </c>
      <c r="F326" s="224">
        <f t="shared" si="80"/>
        <v>76336.543</v>
      </c>
      <c r="G326" s="338" t="e">
        <f t="shared" si="81"/>
        <v>#DIV/0!</v>
      </c>
      <c r="H326" s="208"/>
      <c r="I326" s="208"/>
      <c r="J326" s="208">
        <v>76336.543</v>
      </c>
      <c r="K326" s="203">
        <f t="shared" si="82"/>
        <v>76336.543</v>
      </c>
      <c r="L326" s="338" t="e">
        <f t="shared" si="83"/>
        <v>#DIV/0!</v>
      </c>
      <c r="M326" s="208"/>
      <c r="N326" s="208"/>
      <c r="O326" s="208"/>
      <c r="P326" s="337">
        <f t="shared" si="84"/>
        <v>0</v>
      </c>
      <c r="Q326" s="338" t="e">
        <f t="shared" si="85"/>
        <v>#DIV/0!</v>
      </c>
    </row>
    <row r="327" spans="1:17" s="47" customFormat="1" ht="27" customHeight="1">
      <c r="A327" s="67" t="s">
        <v>381</v>
      </c>
      <c r="B327" s="55">
        <v>14231700</v>
      </c>
      <c r="C327" s="339">
        <f t="shared" si="97"/>
        <v>0</v>
      </c>
      <c r="D327" s="339">
        <f t="shared" si="98"/>
        <v>0</v>
      </c>
      <c r="E327" s="223">
        <f t="shared" si="99"/>
        <v>87779.791</v>
      </c>
      <c r="F327" s="224">
        <f t="shared" si="80"/>
        <v>87779.791</v>
      </c>
      <c r="G327" s="338" t="e">
        <f t="shared" si="81"/>
        <v>#DIV/0!</v>
      </c>
      <c r="H327" s="208"/>
      <c r="I327" s="208"/>
      <c r="J327" s="208">
        <v>86379.809</v>
      </c>
      <c r="K327" s="203">
        <f t="shared" si="82"/>
        <v>86379.809</v>
      </c>
      <c r="L327" s="338" t="e">
        <f t="shared" si="83"/>
        <v>#DIV/0!</v>
      </c>
      <c r="M327" s="208"/>
      <c r="N327" s="208"/>
      <c r="O327" s="208">
        <v>1399.982</v>
      </c>
      <c r="P327" s="203">
        <f t="shared" si="84"/>
        <v>1399.982</v>
      </c>
      <c r="Q327" s="338" t="e">
        <f t="shared" si="85"/>
        <v>#DIV/0!</v>
      </c>
    </row>
    <row r="328" spans="1:17" s="47" customFormat="1" ht="27" customHeight="1">
      <c r="A328" s="67" t="s">
        <v>382</v>
      </c>
      <c r="B328" s="55">
        <v>14231800</v>
      </c>
      <c r="C328" s="339">
        <f t="shared" si="97"/>
        <v>0</v>
      </c>
      <c r="D328" s="339">
        <f t="shared" si="98"/>
        <v>0</v>
      </c>
      <c r="E328" s="223">
        <f t="shared" si="99"/>
        <v>123.874</v>
      </c>
      <c r="F328" s="224">
        <f t="shared" si="80"/>
        <v>123.874</v>
      </c>
      <c r="G328" s="338" t="e">
        <f t="shared" si="81"/>
        <v>#DIV/0!</v>
      </c>
      <c r="H328" s="208"/>
      <c r="I328" s="208"/>
      <c r="J328" s="208">
        <v>123.874</v>
      </c>
      <c r="K328" s="203">
        <f t="shared" si="82"/>
        <v>123.874</v>
      </c>
      <c r="L328" s="338" t="e">
        <f t="shared" si="83"/>
        <v>#DIV/0!</v>
      </c>
      <c r="M328" s="208"/>
      <c r="N328" s="208"/>
      <c r="O328" s="208"/>
      <c r="P328" s="337">
        <f t="shared" si="84"/>
        <v>0</v>
      </c>
      <c r="Q328" s="338" t="e">
        <f t="shared" si="85"/>
        <v>#DIV/0!</v>
      </c>
    </row>
    <row r="329" spans="1:17" s="47" customFormat="1" ht="27" customHeight="1">
      <c r="A329" s="67" t="s">
        <v>383</v>
      </c>
      <c r="B329" s="55">
        <v>14231900</v>
      </c>
      <c r="C329" s="339">
        <f t="shared" si="97"/>
        <v>0</v>
      </c>
      <c r="D329" s="339">
        <f t="shared" si="98"/>
        <v>0</v>
      </c>
      <c r="E329" s="223">
        <f t="shared" si="99"/>
        <v>161151.06100000002</v>
      </c>
      <c r="F329" s="224">
        <f t="shared" si="80"/>
        <v>161151.06100000002</v>
      </c>
      <c r="G329" s="338" t="e">
        <f t="shared" si="81"/>
        <v>#DIV/0!</v>
      </c>
      <c r="H329" s="208"/>
      <c r="I329" s="208"/>
      <c r="J329" s="208">
        <v>160882.385</v>
      </c>
      <c r="K329" s="203">
        <f t="shared" si="82"/>
        <v>160882.385</v>
      </c>
      <c r="L329" s="338" t="e">
        <f t="shared" si="83"/>
        <v>#DIV/0!</v>
      </c>
      <c r="M329" s="208"/>
      <c r="N329" s="208"/>
      <c r="O329" s="208">
        <v>268.676</v>
      </c>
      <c r="P329" s="203">
        <f t="shared" si="84"/>
        <v>268.676</v>
      </c>
      <c r="Q329" s="338" t="e">
        <f t="shared" si="85"/>
        <v>#DIV/0!</v>
      </c>
    </row>
    <row r="330" spans="1:17" s="46" customFormat="1" ht="22.5" customHeight="1">
      <c r="A330" s="66" t="s">
        <v>384</v>
      </c>
      <c r="B330" s="65">
        <v>14232</v>
      </c>
      <c r="C330" s="348">
        <f>C331+C332+C333+C334+C335+C336+C337+C338+C339</f>
        <v>0</v>
      </c>
      <c r="D330" s="348">
        <f>D331+D332+D333+D334+D335+D336+D337+D338+D339</f>
        <v>0</v>
      </c>
      <c r="E330" s="227">
        <f>E331+E332+E333+E334+E335+E336+E337+E338+E339</f>
        <v>5291291.533999999</v>
      </c>
      <c r="F330" s="226">
        <f t="shared" si="80"/>
        <v>5291291.533999999</v>
      </c>
      <c r="G330" s="342" t="e">
        <f t="shared" si="81"/>
        <v>#DIV/0!</v>
      </c>
      <c r="H330" s="344">
        <f>H331+H332+H333+H334+H335+H336+H337+H338+H339</f>
        <v>0</v>
      </c>
      <c r="I330" s="344">
        <f>I331+I332+I333+I334+I335+I336+I337+I338+I339</f>
        <v>0</v>
      </c>
      <c r="J330" s="206">
        <f>J331+J332+J333+J334+J335+J336+J337+J338+J339</f>
        <v>4522571.861</v>
      </c>
      <c r="K330" s="205">
        <f t="shared" si="82"/>
        <v>4522571.861</v>
      </c>
      <c r="L330" s="342" t="e">
        <f t="shared" si="83"/>
        <v>#DIV/0!</v>
      </c>
      <c r="M330" s="344">
        <f>M331+M332+M333+M334+M335+M336+M337+M338+M339</f>
        <v>0</v>
      </c>
      <c r="N330" s="344">
        <f>N331+N332+N333+N334+N335+N336+N337+N338+N339</f>
        <v>0</v>
      </c>
      <c r="O330" s="206">
        <f>O331+O332+O333+O334+O335+O336+O337+O338+O339</f>
        <v>768719.673</v>
      </c>
      <c r="P330" s="205">
        <f t="shared" si="84"/>
        <v>768719.673</v>
      </c>
      <c r="Q330" s="342" t="e">
        <f t="shared" si="85"/>
        <v>#DIV/0!</v>
      </c>
    </row>
    <row r="331" spans="1:17" s="47" customFormat="1" ht="22.5" customHeight="1">
      <c r="A331" s="67" t="s">
        <v>385</v>
      </c>
      <c r="B331" s="55" t="s">
        <v>101</v>
      </c>
      <c r="C331" s="339">
        <f aca="true" t="shared" si="100" ref="C331:C339">H331+M331</f>
        <v>0</v>
      </c>
      <c r="D331" s="339">
        <f aca="true" t="shared" si="101" ref="D331:D339">I331+N331</f>
        <v>0</v>
      </c>
      <c r="E331" s="223">
        <f aca="true" t="shared" si="102" ref="E331:E337">J331+O331</f>
        <v>4017242.8140000002</v>
      </c>
      <c r="F331" s="224">
        <f aca="true" t="shared" si="103" ref="F331:F395">E331-D331</f>
        <v>4017242.8140000002</v>
      </c>
      <c r="G331" s="338" t="e">
        <f aca="true" t="shared" si="104" ref="G331:G395">E331/D331*100</f>
        <v>#DIV/0!</v>
      </c>
      <c r="H331" s="208"/>
      <c r="I331" s="208"/>
      <c r="J331" s="208">
        <v>4018826.614</v>
      </c>
      <c r="K331" s="203">
        <f aca="true" t="shared" si="105" ref="K331:K395">J331-I331</f>
        <v>4018826.614</v>
      </c>
      <c r="L331" s="338" t="e">
        <f aca="true" t="shared" si="106" ref="L331:L395">J331/I331*100</f>
        <v>#DIV/0!</v>
      </c>
      <c r="M331" s="208"/>
      <c r="N331" s="208"/>
      <c r="O331" s="208">
        <v>-1583.8</v>
      </c>
      <c r="P331" s="203">
        <f aca="true" t="shared" si="107" ref="P331:P395">O331-N331</f>
        <v>-1583.8</v>
      </c>
      <c r="Q331" s="338" t="e">
        <f aca="true" t="shared" si="108" ref="Q331:Q395">O331/N331*100</f>
        <v>#DIV/0!</v>
      </c>
    </row>
    <row r="332" spans="1:17" s="47" customFormat="1" ht="31.5" customHeight="1">
      <c r="A332" s="67" t="s">
        <v>103</v>
      </c>
      <c r="B332" s="55" t="s">
        <v>102</v>
      </c>
      <c r="C332" s="339">
        <f t="shared" si="100"/>
        <v>0</v>
      </c>
      <c r="D332" s="339">
        <f t="shared" si="101"/>
        <v>0</v>
      </c>
      <c r="E332" s="223">
        <f t="shared" si="102"/>
        <v>25142.076</v>
      </c>
      <c r="F332" s="224">
        <f t="shared" si="103"/>
        <v>25142.076</v>
      </c>
      <c r="G332" s="338" t="e">
        <f t="shared" si="104"/>
        <v>#DIV/0!</v>
      </c>
      <c r="H332" s="208"/>
      <c r="I332" s="208"/>
      <c r="J332" s="208">
        <v>25005.576</v>
      </c>
      <c r="K332" s="203">
        <f t="shared" si="105"/>
        <v>25005.576</v>
      </c>
      <c r="L332" s="338" t="e">
        <f t="shared" si="106"/>
        <v>#DIV/0!</v>
      </c>
      <c r="M332" s="208"/>
      <c r="N332" s="208"/>
      <c r="O332" s="208">
        <v>136.5</v>
      </c>
      <c r="P332" s="203">
        <f t="shared" si="107"/>
        <v>136.5</v>
      </c>
      <c r="Q332" s="338" t="e">
        <f t="shared" si="108"/>
        <v>#DIV/0!</v>
      </c>
    </row>
    <row r="333" spans="1:17" s="47" customFormat="1" ht="22.5" customHeight="1">
      <c r="A333" s="67" t="s">
        <v>105</v>
      </c>
      <c r="B333" s="55" t="s">
        <v>104</v>
      </c>
      <c r="C333" s="339">
        <f t="shared" si="100"/>
        <v>0</v>
      </c>
      <c r="D333" s="339">
        <f t="shared" si="101"/>
        <v>0</v>
      </c>
      <c r="E333" s="223">
        <f t="shared" si="102"/>
        <v>113290.982</v>
      </c>
      <c r="F333" s="224">
        <f t="shared" si="103"/>
        <v>113290.982</v>
      </c>
      <c r="G333" s="338" t="e">
        <f t="shared" si="104"/>
        <v>#DIV/0!</v>
      </c>
      <c r="H333" s="208"/>
      <c r="I333" s="208"/>
      <c r="J333" s="208">
        <v>113162.094</v>
      </c>
      <c r="K333" s="203">
        <f t="shared" si="105"/>
        <v>113162.094</v>
      </c>
      <c r="L333" s="338" t="e">
        <f t="shared" si="106"/>
        <v>#DIV/0!</v>
      </c>
      <c r="M333" s="208"/>
      <c r="N333" s="208"/>
      <c r="O333" s="208">
        <v>128.888</v>
      </c>
      <c r="P333" s="203">
        <f t="shared" si="107"/>
        <v>128.888</v>
      </c>
      <c r="Q333" s="338" t="e">
        <f t="shared" si="108"/>
        <v>#DIV/0!</v>
      </c>
    </row>
    <row r="334" spans="1:17" s="47" customFormat="1" ht="22.5" customHeight="1">
      <c r="A334" s="67" t="s">
        <v>282</v>
      </c>
      <c r="B334" s="55">
        <v>14232400</v>
      </c>
      <c r="C334" s="339">
        <f t="shared" si="100"/>
        <v>0</v>
      </c>
      <c r="D334" s="339">
        <f t="shared" si="101"/>
        <v>0</v>
      </c>
      <c r="E334" s="223">
        <f t="shared" si="102"/>
        <v>753869.193</v>
      </c>
      <c r="F334" s="224">
        <f t="shared" si="103"/>
        <v>753869.193</v>
      </c>
      <c r="G334" s="338" t="e">
        <f t="shared" si="104"/>
        <v>#DIV/0!</v>
      </c>
      <c r="H334" s="208"/>
      <c r="I334" s="208"/>
      <c r="J334" s="208">
        <v>129145.132</v>
      </c>
      <c r="K334" s="203">
        <f t="shared" si="105"/>
        <v>129145.132</v>
      </c>
      <c r="L334" s="338" t="e">
        <f t="shared" si="106"/>
        <v>#DIV/0!</v>
      </c>
      <c r="M334" s="208"/>
      <c r="N334" s="208"/>
      <c r="O334" s="208">
        <v>624724.061</v>
      </c>
      <c r="P334" s="203">
        <f t="shared" si="107"/>
        <v>624724.061</v>
      </c>
      <c r="Q334" s="338" t="e">
        <f t="shared" si="108"/>
        <v>#DIV/0!</v>
      </c>
    </row>
    <row r="335" spans="1:17" s="47" customFormat="1" ht="22.5" customHeight="1">
      <c r="A335" s="67" t="s">
        <v>121</v>
      </c>
      <c r="B335" s="55">
        <v>14232500</v>
      </c>
      <c r="C335" s="339">
        <f t="shared" si="100"/>
        <v>0</v>
      </c>
      <c r="D335" s="339">
        <f t="shared" si="101"/>
        <v>0</v>
      </c>
      <c r="E335" s="223">
        <f t="shared" si="102"/>
        <v>34347.875</v>
      </c>
      <c r="F335" s="224">
        <f t="shared" si="103"/>
        <v>34347.875</v>
      </c>
      <c r="G335" s="338" t="e">
        <f t="shared" si="104"/>
        <v>#DIV/0!</v>
      </c>
      <c r="H335" s="208"/>
      <c r="I335" s="208"/>
      <c r="J335" s="208">
        <v>34337.111</v>
      </c>
      <c r="K335" s="203">
        <f t="shared" si="105"/>
        <v>34337.111</v>
      </c>
      <c r="L335" s="338" t="e">
        <f t="shared" si="106"/>
        <v>#DIV/0!</v>
      </c>
      <c r="M335" s="208"/>
      <c r="N335" s="208"/>
      <c r="O335" s="208">
        <v>10.764</v>
      </c>
      <c r="P335" s="203">
        <f t="shared" si="107"/>
        <v>10.764</v>
      </c>
      <c r="Q335" s="338" t="e">
        <f t="shared" si="108"/>
        <v>#DIV/0!</v>
      </c>
    </row>
    <row r="336" spans="1:17" s="47" customFormat="1" ht="22.5" customHeight="1">
      <c r="A336" s="67" t="s">
        <v>386</v>
      </c>
      <c r="B336" s="55">
        <v>14232600</v>
      </c>
      <c r="C336" s="339">
        <f t="shared" si="100"/>
        <v>0</v>
      </c>
      <c r="D336" s="339">
        <f t="shared" si="101"/>
        <v>0</v>
      </c>
      <c r="E336" s="223">
        <f t="shared" si="102"/>
        <v>71681.591</v>
      </c>
      <c r="F336" s="224">
        <f t="shared" si="103"/>
        <v>71681.591</v>
      </c>
      <c r="G336" s="338" t="e">
        <f t="shared" si="104"/>
        <v>#DIV/0!</v>
      </c>
      <c r="H336" s="208"/>
      <c r="I336" s="208"/>
      <c r="J336" s="208">
        <v>71679.366</v>
      </c>
      <c r="K336" s="203">
        <f t="shared" si="105"/>
        <v>71679.366</v>
      </c>
      <c r="L336" s="338" t="e">
        <f t="shared" si="106"/>
        <v>#DIV/0!</v>
      </c>
      <c r="M336" s="208"/>
      <c r="N336" s="208"/>
      <c r="O336" s="208">
        <v>2.225</v>
      </c>
      <c r="P336" s="203">
        <f t="shared" si="107"/>
        <v>2.225</v>
      </c>
      <c r="Q336" s="338" t="e">
        <f t="shared" si="108"/>
        <v>#DIV/0!</v>
      </c>
    </row>
    <row r="337" spans="1:17" s="47" customFormat="1" ht="22.5" customHeight="1">
      <c r="A337" s="67" t="s">
        <v>387</v>
      </c>
      <c r="B337" s="55">
        <v>14232700</v>
      </c>
      <c r="C337" s="339">
        <f t="shared" si="100"/>
        <v>0</v>
      </c>
      <c r="D337" s="339">
        <f t="shared" si="101"/>
        <v>0</v>
      </c>
      <c r="E337" s="223">
        <f t="shared" si="102"/>
        <v>10510.005</v>
      </c>
      <c r="F337" s="224">
        <f t="shared" si="103"/>
        <v>10510.005</v>
      </c>
      <c r="G337" s="338" t="e">
        <f t="shared" si="104"/>
        <v>#DIV/0!</v>
      </c>
      <c r="H337" s="208"/>
      <c r="I337" s="208"/>
      <c r="J337" s="208">
        <v>10510.005</v>
      </c>
      <c r="K337" s="203">
        <f t="shared" si="105"/>
        <v>10510.005</v>
      </c>
      <c r="L337" s="338" t="e">
        <f t="shared" si="106"/>
        <v>#DIV/0!</v>
      </c>
      <c r="M337" s="208"/>
      <c r="N337" s="208"/>
      <c r="O337" s="208"/>
      <c r="P337" s="337">
        <f t="shared" si="107"/>
        <v>0</v>
      </c>
      <c r="Q337" s="338" t="e">
        <f t="shared" si="108"/>
        <v>#DIV/0!</v>
      </c>
    </row>
    <row r="338" spans="1:17" s="47" customFormat="1" ht="22.5" customHeight="1">
      <c r="A338" s="67" t="s">
        <v>388</v>
      </c>
      <c r="B338" s="55">
        <v>14232800</v>
      </c>
      <c r="C338" s="339">
        <f t="shared" si="100"/>
        <v>0</v>
      </c>
      <c r="D338" s="339">
        <f t="shared" si="101"/>
        <v>0</v>
      </c>
      <c r="E338" s="223">
        <f>J338+O338</f>
        <v>51241.237</v>
      </c>
      <c r="F338" s="224">
        <f t="shared" si="103"/>
        <v>51241.237</v>
      </c>
      <c r="G338" s="338" t="e">
        <f t="shared" si="104"/>
        <v>#DIV/0!</v>
      </c>
      <c r="H338" s="208"/>
      <c r="I338" s="208"/>
      <c r="J338" s="208">
        <v>50457.829</v>
      </c>
      <c r="K338" s="203">
        <f t="shared" si="105"/>
        <v>50457.829</v>
      </c>
      <c r="L338" s="338" t="e">
        <f t="shared" si="106"/>
        <v>#DIV/0!</v>
      </c>
      <c r="M338" s="208"/>
      <c r="N338" s="208"/>
      <c r="O338" s="208">
        <v>783.408</v>
      </c>
      <c r="P338" s="203">
        <f t="shared" si="107"/>
        <v>783.408</v>
      </c>
      <c r="Q338" s="338" t="e">
        <f t="shared" si="108"/>
        <v>#DIV/0!</v>
      </c>
    </row>
    <row r="339" spans="1:17" s="47" customFormat="1" ht="22.5" customHeight="1">
      <c r="A339" s="67" t="s">
        <v>389</v>
      </c>
      <c r="B339" s="55">
        <v>14232900</v>
      </c>
      <c r="C339" s="339">
        <f t="shared" si="100"/>
        <v>0</v>
      </c>
      <c r="D339" s="339">
        <f t="shared" si="101"/>
        <v>0</v>
      </c>
      <c r="E339" s="223">
        <f>J339+O339</f>
        <v>213965.761</v>
      </c>
      <c r="F339" s="224">
        <f t="shared" si="103"/>
        <v>213965.761</v>
      </c>
      <c r="G339" s="338" t="e">
        <f t="shared" si="104"/>
        <v>#DIV/0!</v>
      </c>
      <c r="H339" s="208"/>
      <c r="I339" s="208"/>
      <c r="J339" s="208">
        <v>69448.134</v>
      </c>
      <c r="K339" s="203">
        <f t="shared" si="105"/>
        <v>69448.134</v>
      </c>
      <c r="L339" s="338" t="e">
        <f t="shared" si="106"/>
        <v>#DIV/0!</v>
      </c>
      <c r="M339" s="208"/>
      <c r="N339" s="208"/>
      <c r="O339" s="208">
        <v>144517.627</v>
      </c>
      <c r="P339" s="203">
        <f t="shared" si="107"/>
        <v>144517.627</v>
      </c>
      <c r="Q339" s="338" t="e">
        <f t="shared" si="108"/>
        <v>#DIV/0!</v>
      </c>
    </row>
    <row r="340" spans="1:17" s="46" customFormat="1" ht="22.5" customHeight="1">
      <c r="A340" s="66" t="s">
        <v>390</v>
      </c>
      <c r="B340" s="58" t="s">
        <v>106</v>
      </c>
      <c r="C340" s="348">
        <f>C341+C342+C343+C344+C345+C346</f>
        <v>0</v>
      </c>
      <c r="D340" s="348">
        <f>D341+D342+D343+D344+D345+D346</f>
        <v>0</v>
      </c>
      <c r="E340" s="227">
        <f>E341+E342+E343+E344+E345+E346</f>
        <v>3042.186</v>
      </c>
      <c r="F340" s="226">
        <f t="shared" si="103"/>
        <v>3042.186</v>
      </c>
      <c r="G340" s="342" t="e">
        <f t="shared" si="104"/>
        <v>#DIV/0!</v>
      </c>
      <c r="H340" s="344">
        <f>H341+H342+H343+H344+H345+H346</f>
        <v>0</v>
      </c>
      <c r="I340" s="344">
        <f>I341+I342+I343+I344+I345+I346</f>
        <v>0</v>
      </c>
      <c r="J340" s="206">
        <f>J341+J342+J343+J344+J345+J346</f>
        <v>2848.038</v>
      </c>
      <c r="K340" s="205">
        <f t="shared" si="105"/>
        <v>2848.038</v>
      </c>
      <c r="L340" s="342" t="e">
        <f t="shared" si="106"/>
        <v>#DIV/0!</v>
      </c>
      <c r="M340" s="344">
        <f>M341+M342+M343+M344+M345+M346</f>
        <v>0</v>
      </c>
      <c r="N340" s="344">
        <f>N341+N342+N343+N344+N345+N346</f>
        <v>0</v>
      </c>
      <c r="O340" s="206">
        <f>O341+O342+O343+O344+O345+O346</f>
        <v>194.148</v>
      </c>
      <c r="P340" s="205">
        <f t="shared" si="107"/>
        <v>194.148</v>
      </c>
      <c r="Q340" s="342" t="e">
        <f t="shared" si="108"/>
        <v>#DIV/0!</v>
      </c>
    </row>
    <row r="341" spans="1:17" s="47" customFormat="1" ht="22.5" customHeight="1">
      <c r="A341" s="67" t="s">
        <v>391</v>
      </c>
      <c r="B341" s="55" t="s">
        <v>107</v>
      </c>
      <c r="C341" s="339">
        <f aca="true" t="shared" si="109" ref="C341:E346">H341+M341</f>
        <v>0</v>
      </c>
      <c r="D341" s="339">
        <f t="shared" si="109"/>
        <v>0</v>
      </c>
      <c r="E341" s="223">
        <f t="shared" si="109"/>
        <v>1381.406</v>
      </c>
      <c r="F341" s="224">
        <f t="shared" si="103"/>
        <v>1381.406</v>
      </c>
      <c r="G341" s="338" t="e">
        <f t="shared" si="104"/>
        <v>#DIV/0!</v>
      </c>
      <c r="H341" s="208"/>
      <c r="I341" s="208"/>
      <c r="J341" s="208">
        <v>1349.546</v>
      </c>
      <c r="K341" s="203">
        <f t="shared" si="105"/>
        <v>1349.546</v>
      </c>
      <c r="L341" s="338" t="e">
        <f t="shared" si="106"/>
        <v>#DIV/0!</v>
      </c>
      <c r="M341" s="208"/>
      <c r="N341" s="208"/>
      <c r="O341" s="208">
        <v>31.86</v>
      </c>
      <c r="P341" s="203">
        <f t="shared" si="107"/>
        <v>31.86</v>
      </c>
      <c r="Q341" s="338" t="e">
        <f t="shared" si="108"/>
        <v>#DIV/0!</v>
      </c>
    </row>
    <row r="342" spans="1:17" s="47" customFormat="1" ht="22.5" customHeight="1">
      <c r="A342" s="67" t="s">
        <v>392</v>
      </c>
      <c r="B342" s="55" t="s">
        <v>108</v>
      </c>
      <c r="C342" s="339">
        <f t="shared" si="109"/>
        <v>0</v>
      </c>
      <c r="D342" s="339">
        <f t="shared" si="109"/>
        <v>0</v>
      </c>
      <c r="E342" s="223">
        <f t="shared" si="109"/>
        <v>23.15</v>
      </c>
      <c r="F342" s="224">
        <f t="shared" si="103"/>
        <v>23.15</v>
      </c>
      <c r="G342" s="338" t="e">
        <f t="shared" si="104"/>
        <v>#DIV/0!</v>
      </c>
      <c r="H342" s="208"/>
      <c r="I342" s="208"/>
      <c r="J342" s="208">
        <v>17.15</v>
      </c>
      <c r="K342" s="203">
        <f t="shared" si="105"/>
        <v>17.15</v>
      </c>
      <c r="L342" s="338" t="e">
        <f t="shared" si="106"/>
        <v>#DIV/0!</v>
      </c>
      <c r="M342" s="208"/>
      <c r="N342" s="208"/>
      <c r="O342" s="208">
        <v>6</v>
      </c>
      <c r="P342" s="203">
        <f t="shared" si="107"/>
        <v>6</v>
      </c>
      <c r="Q342" s="338" t="e">
        <f t="shared" si="108"/>
        <v>#DIV/0!</v>
      </c>
    </row>
    <row r="343" spans="1:17" s="47" customFormat="1" ht="22.5" customHeight="1">
      <c r="A343" s="67" t="s">
        <v>393</v>
      </c>
      <c r="B343" s="55" t="s">
        <v>109</v>
      </c>
      <c r="C343" s="339">
        <f t="shared" si="109"/>
        <v>0</v>
      </c>
      <c r="D343" s="339">
        <f t="shared" si="109"/>
        <v>0</v>
      </c>
      <c r="E343" s="223">
        <f t="shared" si="109"/>
        <v>69.85</v>
      </c>
      <c r="F343" s="224">
        <f t="shared" si="103"/>
        <v>69.85</v>
      </c>
      <c r="G343" s="338" t="e">
        <f t="shared" si="104"/>
        <v>#DIV/0!</v>
      </c>
      <c r="H343" s="208"/>
      <c r="I343" s="208"/>
      <c r="J343" s="208">
        <v>69.85</v>
      </c>
      <c r="K343" s="203">
        <f t="shared" si="105"/>
        <v>69.85</v>
      </c>
      <c r="L343" s="338" t="e">
        <f t="shared" si="106"/>
        <v>#DIV/0!</v>
      </c>
      <c r="M343" s="208"/>
      <c r="N343" s="208"/>
      <c r="O343" s="208"/>
      <c r="P343" s="337">
        <f t="shared" si="107"/>
        <v>0</v>
      </c>
      <c r="Q343" s="338" t="e">
        <f t="shared" si="108"/>
        <v>#DIV/0!</v>
      </c>
    </row>
    <row r="344" spans="1:17" s="47" customFormat="1" ht="22.5" customHeight="1">
      <c r="A344" s="67" t="s">
        <v>394</v>
      </c>
      <c r="B344" s="55">
        <v>14233400</v>
      </c>
      <c r="C344" s="339">
        <f t="shared" si="109"/>
        <v>0</v>
      </c>
      <c r="D344" s="339">
        <f t="shared" si="109"/>
        <v>0</v>
      </c>
      <c r="E344" s="223">
        <f t="shared" si="109"/>
        <v>1308.324</v>
      </c>
      <c r="F344" s="224">
        <f t="shared" si="103"/>
        <v>1308.324</v>
      </c>
      <c r="G344" s="338" t="e">
        <f t="shared" si="104"/>
        <v>#DIV/0!</v>
      </c>
      <c r="H344" s="208"/>
      <c r="I344" s="208"/>
      <c r="J344" s="208">
        <v>1307.564</v>
      </c>
      <c r="K344" s="203">
        <f t="shared" si="105"/>
        <v>1307.564</v>
      </c>
      <c r="L344" s="338" t="e">
        <f t="shared" si="106"/>
        <v>#DIV/0!</v>
      </c>
      <c r="M344" s="208"/>
      <c r="N344" s="208"/>
      <c r="O344" s="208">
        <v>0.76</v>
      </c>
      <c r="P344" s="203">
        <f t="shared" si="107"/>
        <v>0.76</v>
      </c>
      <c r="Q344" s="338" t="e">
        <f t="shared" si="108"/>
        <v>#DIV/0!</v>
      </c>
    </row>
    <row r="345" spans="1:17" s="47" customFormat="1" ht="22.5" customHeight="1">
      <c r="A345" s="67" t="s">
        <v>573</v>
      </c>
      <c r="B345" s="55">
        <v>14233600</v>
      </c>
      <c r="C345" s="339">
        <f t="shared" si="109"/>
        <v>0</v>
      </c>
      <c r="D345" s="339">
        <f t="shared" si="109"/>
        <v>0</v>
      </c>
      <c r="E345" s="223">
        <f t="shared" si="109"/>
        <v>1.8</v>
      </c>
      <c r="F345" s="224">
        <f>E345-D345</f>
        <v>1.8</v>
      </c>
      <c r="G345" s="338" t="e">
        <f>E345/D345*100</f>
        <v>#DIV/0!</v>
      </c>
      <c r="H345" s="208"/>
      <c r="I345" s="208"/>
      <c r="J345" s="208"/>
      <c r="K345" s="337">
        <f>J345-I345</f>
        <v>0</v>
      </c>
      <c r="L345" s="338" t="e">
        <f>J345/I345*100</f>
        <v>#DIV/0!</v>
      </c>
      <c r="M345" s="208"/>
      <c r="N345" s="208"/>
      <c r="O345" s="208">
        <v>1.8</v>
      </c>
      <c r="P345" s="203">
        <f>O345-N345</f>
        <v>1.8</v>
      </c>
      <c r="Q345" s="338" t="e">
        <f>O345/N345*100</f>
        <v>#DIV/0!</v>
      </c>
    </row>
    <row r="346" spans="1:17" s="47" customFormat="1" ht="22.5" customHeight="1">
      <c r="A346" s="67" t="s">
        <v>395</v>
      </c>
      <c r="B346" s="55">
        <v>14233900</v>
      </c>
      <c r="C346" s="339">
        <f t="shared" si="109"/>
        <v>0</v>
      </c>
      <c r="D346" s="339">
        <f t="shared" si="109"/>
        <v>0</v>
      </c>
      <c r="E346" s="223">
        <f t="shared" si="109"/>
        <v>257.656</v>
      </c>
      <c r="F346" s="224">
        <f t="shared" si="103"/>
        <v>257.656</v>
      </c>
      <c r="G346" s="338" t="e">
        <f t="shared" si="104"/>
        <v>#DIV/0!</v>
      </c>
      <c r="H346" s="208"/>
      <c r="I346" s="208"/>
      <c r="J346" s="208">
        <v>103.928</v>
      </c>
      <c r="K346" s="203">
        <f t="shared" si="105"/>
        <v>103.928</v>
      </c>
      <c r="L346" s="338" t="e">
        <f t="shared" si="106"/>
        <v>#DIV/0!</v>
      </c>
      <c r="M346" s="208"/>
      <c r="N346" s="208"/>
      <c r="O346" s="208">
        <v>153.728</v>
      </c>
      <c r="P346" s="203">
        <f t="shared" si="107"/>
        <v>153.728</v>
      </c>
      <c r="Q346" s="338" t="e">
        <f t="shared" si="108"/>
        <v>#DIV/0!</v>
      </c>
    </row>
    <row r="347" spans="1:17" s="46" customFormat="1" ht="22.5" customHeight="1">
      <c r="A347" s="66" t="s">
        <v>535</v>
      </c>
      <c r="B347" s="58" t="s">
        <v>110</v>
      </c>
      <c r="C347" s="348">
        <f>C348+C349+C350+C351+C352+C353+C354+C355</f>
        <v>0</v>
      </c>
      <c r="D347" s="348">
        <f>D348+D349+D350+D351+D352+D353+D354+D355</f>
        <v>0</v>
      </c>
      <c r="E347" s="227">
        <f>E348+E349+E350+E351+E352+E353+E354+E355</f>
        <v>291096.756</v>
      </c>
      <c r="F347" s="226">
        <f t="shared" si="103"/>
        <v>291096.756</v>
      </c>
      <c r="G347" s="342" t="e">
        <f t="shared" si="104"/>
        <v>#DIV/0!</v>
      </c>
      <c r="H347" s="344">
        <f>H348+H349+H350+H351+H352+H353+H354+H355</f>
        <v>0</v>
      </c>
      <c r="I347" s="344">
        <f>I348+I349+I350+I351+I352+I353+I354+I355</f>
        <v>0</v>
      </c>
      <c r="J347" s="206">
        <f>J348+J349+J350+J351+J352+J353+J354+J355</f>
        <v>289063.481</v>
      </c>
      <c r="K347" s="205">
        <f t="shared" si="105"/>
        <v>289063.481</v>
      </c>
      <c r="L347" s="342" t="e">
        <f t="shared" si="106"/>
        <v>#DIV/0!</v>
      </c>
      <c r="M347" s="344">
        <f>M348+M349+M350+M351+M352+M353+M354+M355</f>
        <v>0</v>
      </c>
      <c r="N347" s="344">
        <f>N348+N349+N350+N351+N352+N353+N354+N355</f>
        <v>0</v>
      </c>
      <c r="O347" s="206">
        <f>O348+O349+O350+O351+O352+O353+O354+O355</f>
        <v>2033.275</v>
      </c>
      <c r="P347" s="205">
        <f t="shared" si="107"/>
        <v>2033.275</v>
      </c>
      <c r="Q347" s="342" t="e">
        <f t="shared" si="108"/>
        <v>#DIV/0!</v>
      </c>
    </row>
    <row r="348" spans="1:17" s="47" customFormat="1" ht="22.5" customHeight="1">
      <c r="A348" s="67" t="s">
        <v>396</v>
      </c>
      <c r="B348" s="55" t="s">
        <v>111</v>
      </c>
      <c r="C348" s="339">
        <f aca="true" t="shared" si="110" ref="C348:D355">H348+M348</f>
        <v>0</v>
      </c>
      <c r="D348" s="339">
        <f t="shared" si="110"/>
        <v>0</v>
      </c>
      <c r="E348" s="223">
        <f aca="true" t="shared" si="111" ref="E348:E355">J348+O348</f>
        <v>3938.716</v>
      </c>
      <c r="F348" s="224">
        <f t="shared" si="103"/>
        <v>3938.716</v>
      </c>
      <c r="G348" s="338" t="e">
        <f t="shared" si="104"/>
        <v>#DIV/0!</v>
      </c>
      <c r="H348" s="208"/>
      <c r="I348" s="208"/>
      <c r="J348" s="208">
        <v>3938.716</v>
      </c>
      <c r="K348" s="203">
        <f t="shared" si="105"/>
        <v>3938.716</v>
      </c>
      <c r="L348" s="338" t="e">
        <f t="shared" si="106"/>
        <v>#DIV/0!</v>
      </c>
      <c r="M348" s="208"/>
      <c r="N348" s="208"/>
      <c r="O348" s="208"/>
      <c r="P348" s="337">
        <f t="shared" si="107"/>
        <v>0</v>
      </c>
      <c r="Q348" s="338" t="e">
        <f t="shared" si="108"/>
        <v>#DIV/0!</v>
      </c>
    </row>
    <row r="349" spans="1:17" s="47" customFormat="1" ht="22.5" customHeight="1">
      <c r="A349" s="67" t="s">
        <v>397</v>
      </c>
      <c r="B349" s="55" t="s">
        <v>112</v>
      </c>
      <c r="C349" s="339">
        <f t="shared" si="110"/>
        <v>0</v>
      </c>
      <c r="D349" s="339">
        <f t="shared" si="110"/>
        <v>0</v>
      </c>
      <c r="E349" s="223">
        <f t="shared" si="111"/>
        <v>8.236</v>
      </c>
      <c r="F349" s="224">
        <f t="shared" si="103"/>
        <v>8.236</v>
      </c>
      <c r="G349" s="338" t="e">
        <f t="shared" si="104"/>
        <v>#DIV/0!</v>
      </c>
      <c r="H349" s="208"/>
      <c r="I349" s="208"/>
      <c r="J349" s="208">
        <v>7.736</v>
      </c>
      <c r="K349" s="203">
        <f t="shared" si="105"/>
        <v>7.736</v>
      </c>
      <c r="L349" s="338" t="e">
        <f t="shared" si="106"/>
        <v>#DIV/0!</v>
      </c>
      <c r="M349" s="208"/>
      <c r="N349" s="208"/>
      <c r="O349" s="208">
        <v>0.5</v>
      </c>
      <c r="P349" s="203">
        <f t="shared" si="107"/>
        <v>0.5</v>
      </c>
      <c r="Q349" s="338" t="e">
        <f t="shared" si="108"/>
        <v>#DIV/0!</v>
      </c>
    </row>
    <row r="350" spans="1:17" s="47" customFormat="1" ht="22.5" customHeight="1">
      <c r="A350" s="67" t="s">
        <v>398</v>
      </c>
      <c r="B350" s="55" t="s">
        <v>113</v>
      </c>
      <c r="C350" s="339">
        <f t="shared" si="110"/>
        <v>0</v>
      </c>
      <c r="D350" s="339">
        <f t="shared" si="110"/>
        <v>0</v>
      </c>
      <c r="E350" s="223">
        <f t="shared" si="111"/>
        <v>4819.197</v>
      </c>
      <c r="F350" s="224">
        <f t="shared" si="103"/>
        <v>4819.197</v>
      </c>
      <c r="G350" s="338" t="e">
        <f t="shared" si="104"/>
        <v>#DIV/0!</v>
      </c>
      <c r="H350" s="208"/>
      <c r="I350" s="208"/>
      <c r="J350" s="208">
        <v>4819.197</v>
      </c>
      <c r="K350" s="203">
        <f t="shared" si="105"/>
        <v>4819.197</v>
      </c>
      <c r="L350" s="338" t="e">
        <f t="shared" si="106"/>
        <v>#DIV/0!</v>
      </c>
      <c r="M350" s="208"/>
      <c r="N350" s="208"/>
      <c r="O350" s="208"/>
      <c r="P350" s="337">
        <f t="shared" si="107"/>
        <v>0</v>
      </c>
      <c r="Q350" s="338" t="e">
        <f t="shared" si="108"/>
        <v>#DIV/0!</v>
      </c>
    </row>
    <row r="351" spans="1:17" s="47" customFormat="1" ht="22.5" customHeight="1">
      <c r="A351" s="67" t="s">
        <v>399</v>
      </c>
      <c r="B351" s="55">
        <v>14234400</v>
      </c>
      <c r="C351" s="339">
        <f t="shared" si="110"/>
        <v>0</v>
      </c>
      <c r="D351" s="339">
        <f t="shared" si="110"/>
        <v>0</v>
      </c>
      <c r="E351" s="223">
        <f t="shared" si="111"/>
        <v>20056.617000000002</v>
      </c>
      <c r="F351" s="224">
        <f t="shared" si="103"/>
        <v>20056.617000000002</v>
      </c>
      <c r="G351" s="338" t="e">
        <f t="shared" si="104"/>
        <v>#DIV/0!</v>
      </c>
      <c r="H351" s="208"/>
      <c r="I351" s="208"/>
      <c r="J351" s="208">
        <v>19279.616</v>
      </c>
      <c r="K351" s="203">
        <f t="shared" si="105"/>
        <v>19279.616</v>
      </c>
      <c r="L351" s="338" t="e">
        <f t="shared" si="106"/>
        <v>#DIV/0!</v>
      </c>
      <c r="M351" s="208"/>
      <c r="N351" s="208"/>
      <c r="O351" s="208">
        <v>777.001</v>
      </c>
      <c r="P351" s="203">
        <f t="shared" si="107"/>
        <v>777.001</v>
      </c>
      <c r="Q351" s="338" t="e">
        <f t="shared" si="108"/>
        <v>#DIV/0!</v>
      </c>
    </row>
    <row r="352" spans="1:17" s="47" customFormat="1" ht="22.5" customHeight="1">
      <c r="A352" s="67" t="s">
        <v>400</v>
      </c>
      <c r="B352" s="55">
        <v>14234500</v>
      </c>
      <c r="C352" s="339">
        <f t="shared" si="110"/>
        <v>0</v>
      </c>
      <c r="D352" s="339">
        <f t="shared" si="110"/>
        <v>0</v>
      </c>
      <c r="E352" s="223">
        <f>J352+O352</f>
        <v>6103.188</v>
      </c>
      <c r="F352" s="224">
        <f t="shared" si="103"/>
        <v>6103.188</v>
      </c>
      <c r="G352" s="338" t="e">
        <f t="shared" si="104"/>
        <v>#DIV/0!</v>
      </c>
      <c r="H352" s="208"/>
      <c r="I352" s="208"/>
      <c r="J352" s="208">
        <v>6103.188</v>
      </c>
      <c r="K352" s="203">
        <f t="shared" si="105"/>
        <v>6103.188</v>
      </c>
      <c r="L352" s="338" t="e">
        <f t="shared" si="106"/>
        <v>#DIV/0!</v>
      </c>
      <c r="M352" s="208"/>
      <c r="N352" s="208"/>
      <c r="O352" s="208"/>
      <c r="P352" s="337">
        <f t="shared" si="107"/>
        <v>0</v>
      </c>
      <c r="Q352" s="338" t="e">
        <f t="shared" si="108"/>
        <v>#DIV/0!</v>
      </c>
    </row>
    <row r="353" spans="1:17" s="47" customFormat="1" ht="22.5" customHeight="1">
      <c r="A353" s="67" t="s">
        <v>401</v>
      </c>
      <c r="B353" s="55">
        <v>14234600</v>
      </c>
      <c r="C353" s="339">
        <f t="shared" si="110"/>
        <v>0</v>
      </c>
      <c r="D353" s="339">
        <f t="shared" si="110"/>
        <v>0</v>
      </c>
      <c r="E353" s="223">
        <f>J353+O353</f>
        <v>1219.318</v>
      </c>
      <c r="F353" s="224">
        <f t="shared" si="103"/>
        <v>1219.318</v>
      </c>
      <c r="G353" s="338" t="e">
        <f t="shared" si="104"/>
        <v>#DIV/0!</v>
      </c>
      <c r="H353" s="208"/>
      <c r="I353" s="208"/>
      <c r="J353" s="208">
        <v>1219.318</v>
      </c>
      <c r="K353" s="203">
        <f t="shared" si="105"/>
        <v>1219.318</v>
      </c>
      <c r="L353" s="338" t="e">
        <f t="shared" si="106"/>
        <v>#DIV/0!</v>
      </c>
      <c r="M353" s="208"/>
      <c r="N353" s="208"/>
      <c r="O353" s="208"/>
      <c r="P353" s="337">
        <f t="shared" si="107"/>
        <v>0</v>
      </c>
      <c r="Q353" s="338" t="e">
        <f t="shared" si="108"/>
        <v>#DIV/0!</v>
      </c>
    </row>
    <row r="354" spans="1:17" s="47" customFormat="1" ht="22.5" customHeight="1">
      <c r="A354" s="67" t="s">
        <v>536</v>
      </c>
      <c r="B354" s="55">
        <v>14234700</v>
      </c>
      <c r="C354" s="339">
        <f t="shared" si="110"/>
        <v>0</v>
      </c>
      <c r="D354" s="339">
        <f t="shared" si="110"/>
        <v>0</v>
      </c>
      <c r="E354" s="223">
        <f t="shared" si="111"/>
        <v>584.826</v>
      </c>
      <c r="F354" s="224">
        <f t="shared" si="103"/>
        <v>584.826</v>
      </c>
      <c r="G354" s="338" t="e">
        <f t="shared" si="104"/>
        <v>#DIV/0!</v>
      </c>
      <c r="H354" s="208"/>
      <c r="I354" s="208"/>
      <c r="J354" s="208">
        <v>574.403</v>
      </c>
      <c r="K354" s="203">
        <f t="shared" si="105"/>
        <v>574.403</v>
      </c>
      <c r="L354" s="338" t="e">
        <f t="shared" si="106"/>
        <v>#DIV/0!</v>
      </c>
      <c r="M354" s="208"/>
      <c r="N354" s="208"/>
      <c r="O354" s="208">
        <v>10.423</v>
      </c>
      <c r="P354" s="203">
        <f t="shared" si="107"/>
        <v>10.423</v>
      </c>
      <c r="Q354" s="338" t="e">
        <f t="shared" si="108"/>
        <v>#DIV/0!</v>
      </c>
    </row>
    <row r="355" spans="1:17" s="47" customFormat="1" ht="22.5" customHeight="1">
      <c r="A355" s="67" t="s">
        <v>402</v>
      </c>
      <c r="B355" s="55">
        <v>14234900</v>
      </c>
      <c r="C355" s="339">
        <f t="shared" si="110"/>
        <v>0</v>
      </c>
      <c r="D355" s="339">
        <f t="shared" si="110"/>
        <v>0</v>
      </c>
      <c r="E355" s="223">
        <f t="shared" si="111"/>
        <v>254366.658</v>
      </c>
      <c r="F355" s="224">
        <f t="shared" si="103"/>
        <v>254366.658</v>
      </c>
      <c r="G355" s="338" t="e">
        <f t="shared" si="104"/>
        <v>#DIV/0!</v>
      </c>
      <c r="H355" s="208"/>
      <c r="I355" s="208"/>
      <c r="J355" s="208">
        <v>253121.307</v>
      </c>
      <c r="K355" s="203">
        <f t="shared" si="105"/>
        <v>253121.307</v>
      </c>
      <c r="L355" s="338" t="e">
        <f t="shared" si="106"/>
        <v>#DIV/0!</v>
      </c>
      <c r="M355" s="208"/>
      <c r="N355" s="208"/>
      <c r="O355" s="208">
        <v>1245.351</v>
      </c>
      <c r="P355" s="203">
        <f t="shared" si="107"/>
        <v>1245.351</v>
      </c>
      <c r="Q355" s="338" t="e">
        <f t="shared" si="108"/>
        <v>#DIV/0!</v>
      </c>
    </row>
    <row r="356" spans="1:17" s="46" customFormat="1" ht="22.5" customHeight="1">
      <c r="A356" s="66" t="s">
        <v>403</v>
      </c>
      <c r="B356" s="58" t="s">
        <v>114</v>
      </c>
      <c r="C356" s="347">
        <f>C357+C358+C359+C360+C361+C362+C363</f>
        <v>0</v>
      </c>
      <c r="D356" s="347">
        <f>D357+D358+D359+D360+D361+D362+D363</f>
        <v>0</v>
      </c>
      <c r="E356" s="228">
        <f>E357+E358+E359+E360+E361+E362+E363</f>
        <v>28252.769</v>
      </c>
      <c r="F356" s="226">
        <f t="shared" si="103"/>
        <v>28252.769</v>
      </c>
      <c r="G356" s="342" t="e">
        <f t="shared" si="104"/>
        <v>#DIV/0!</v>
      </c>
      <c r="H356" s="340">
        <f>H357+H358+H359+H360+H361+H362+H363</f>
        <v>0</v>
      </c>
      <c r="I356" s="340">
        <f>I357+I358+I359+I360+I361+I362+I363</f>
        <v>0</v>
      </c>
      <c r="J356" s="209">
        <f>J357+J358+J359+J360+J361+J362+J363</f>
        <v>28164.924</v>
      </c>
      <c r="K356" s="205">
        <f t="shared" si="105"/>
        <v>28164.924</v>
      </c>
      <c r="L356" s="342" t="e">
        <f t="shared" si="106"/>
        <v>#DIV/0!</v>
      </c>
      <c r="M356" s="340">
        <f>M357+M358+M359+M360+M361+M362+M363</f>
        <v>0</v>
      </c>
      <c r="N356" s="340">
        <f>N357+N358+N359+N360+N361+N362+N363</f>
        <v>0</v>
      </c>
      <c r="O356" s="209">
        <f>O357+O358+O359+O360+O361+O362+O363</f>
        <v>87.845</v>
      </c>
      <c r="P356" s="205">
        <f t="shared" si="107"/>
        <v>87.845</v>
      </c>
      <c r="Q356" s="342" t="e">
        <f t="shared" si="108"/>
        <v>#DIV/0!</v>
      </c>
    </row>
    <row r="357" spans="1:17" s="47" customFormat="1" ht="22.5" customHeight="1">
      <c r="A357" s="67" t="s">
        <v>404</v>
      </c>
      <c r="B357" s="55" t="s">
        <v>115</v>
      </c>
      <c r="C357" s="339">
        <f aca="true" t="shared" si="112" ref="C357:D362">H357+M357</f>
        <v>0</v>
      </c>
      <c r="D357" s="339">
        <f t="shared" si="112"/>
        <v>0</v>
      </c>
      <c r="E357" s="223">
        <f aca="true" t="shared" si="113" ref="E357:E362">J357+O357</f>
        <v>10164.857</v>
      </c>
      <c r="F357" s="224">
        <f t="shared" si="103"/>
        <v>10164.857</v>
      </c>
      <c r="G357" s="338" t="e">
        <f t="shared" si="104"/>
        <v>#DIV/0!</v>
      </c>
      <c r="H357" s="202"/>
      <c r="I357" s="202"/>
      <c r="J357" s="202">
        <v>10164.857</v>
      </c>
      <c r="K357" s="203">
        <f t="shared" si="105"/>
        <v>10164.857</v>
      </c>
      <c r="L357" s="338" t="e">
        <f t="shared" si="106"/>
        <v>#DIV/0!</v>
      </c>
      <c r="M357" s="208"/>
      <c r="N357" s="208"/>
      <c r="O357" s="208"/>
      <c r="P357" s="337">
        <f t="shared" si="107"/>
        <v>0</v>
      </c>
      <c r="Q357" s="338" t="e">
        <f t="shared" si="108"/>
        <v>#DIV/0!</v>
      </c>
    </row>
    <row r="358" spans="1:17" s="47" customFormat="1" ht="22.5" customHeight="1">
      <c r="A358" s="67" t="s">
        <v>405</v>
      </c>
      <c r="B358" s="55" t="s">
        <v>116</v>
      </c>
      <c r="C358" s="339">
        <f t="shared" si="112"/>
        <v>0</v>
      </c>
      <c r="D358" s="339">
        <f t="shared" si="112"/>
        <v>0</v>
      </c>
      <c r="E358" s="223">
        <f t="shared" si="113"/>
        <v>0.492</v>
      </c>
      <c r="F358" s="224">
        <f t="shared" si="103"/>
        <v>0.492</v>
      </c>
      <c r="G358" s="338" t="e">
        <f t="shared" si="104"/>
        <v>#DIV/0!</v>
      </c>
      <c r="H358" s="202"/>
      <c r="I358" s="202"/>
      <c r="J358" s="202">
        <v>0.492</v>
      </c>
      <c r="K358" s="203">
        <f t="shared" si="105"/>
        <v>0.492</v>
      </c>
      <c r="L358" s="338" t="e">
        <f t="shared" si="106"/>
        <v>#DIV/0!</v>
      </c>
      <c r="M358" s="208"/>
      <c r="N358" s="208"/>
      <c r="O358" s="208"/>
      <c r="P358" s="337">
        <f t="shared" si="107"/>
        <v>0</v>
      </c>
      <c r="Q358" s="338" t="e">
        <f t="shared" si="108"/>
        <v>#DIV/0!</v>
      </c>
    </row>
    <row r="359" spans="1:17" s="47" customFormat="1" ht="22.5" customHeight="1">
      <c r="A359" s="67" t="s">
        <v>406</v>
      </c>
      <c r="B359" s="55" t="s">
        <v>117</v>
      </c>
      <c r="C359" s="339">
        <f t="shared" si="112"/>
        <v>0</v>
      </c>
      <c r="D359" s="339">
        <f t="shared" si="112"/>
        <v>0</v>
      </c>
      <c r="E359" s="223">
        <f t="shared" si="113"/>
        <v>6386.948</v>
      </c>
      <c r="F359" s="224">
        <f t="shared" si="103"/>
        <v>6386.948</v>
      </c>
      <c r="G359" s="338" t="e">
        <f t="shared" si="104"/>
        <v>#DIV/0!</v>
      </c>
      <c r="H359" s="202"/>
      <c r="I359" s="202"/>
      <c r="J359" s="202">
        <v>6386.948</v>
      </c>
      <c r="K359" s="203">
        <f t="shared" si="105"/>
        <v>6386.948</v>
      </c>
      <c r="L359" s="338" t="e">
        <f t="shared" si="106"/>
        <v>#DIV/0!</v>
      </c>
      <c r="M359" s="208"/>
      <c r="N359" s="208"/>
      <c r="O359" s="208"/>
      <c r="P359" s="337">
        <f t="shared" si="107"/>
        <v>0</v>
      </c>
      <c r="Q359" s="338" t="e">
        <f t="shared" si="108"/>
        <v>#DIV/0!</v>
      </c>
    </row>
    <row r="360" spans="1:17" s="47" customFormat="1" ht="22.5" customHeight="1">
      <c r="A360" s="67" t="s">
        <v>407</v>
      </c>
      <c r="B360" s="55" t="s">
        <v>118</v>
      </c>
      <c r="C360" s="339">
        <f t="shared" si="112"/>
        <v>0</v>
      </c>
      <c r="D360" s="339">
        <f t="shared" si="112"/>
        <v>0</v>
      </c>
      <c r="E360" s="223">
        <f t="shared" si="113"/>
        <v>-15170.627</v>
      </c>
      <c r="F360" s="224">
        <f t="shared" si="103"/>
        <v>-15170.627</v>
      </c>
      <c r="G360" s="338" t="e">
        <f t="shared" si="104"/>
        <v>#DIV/0!</v>
      </c>
      <c r="H360" s="202"/>
      <c r="I360" s="202"/>
      <c r="J360" s="202">
        <v>-15170.627</v>
      </c>
      <c r="K360" s="203">
        <f t="shared" si="105"/>
        <v>-15170.627</v>
      </c>
      <c r="L360" s="338" t="e">
        <f t="shared" si="106"/>
        <v>#DIV/0!</v>
      </c>
      <c r="M360" s="208"/>
      <c r="N360" s="208"/>
      <c r="O360" s="208"/>
      <c r="P360" s="337">
        <f t="shared" si="107"/>
        <v>0</v>
      </c>
      <c r="Q360" s="338" t="e">
        <f t="shared" si="108"/>
        <v>#DIV/0!</v>
      </c>
    </row>
    <row r="361" spans="1:17" s="47" customFormat="1" ht="22.5" customHeight="1">
      <c r="A361" s="67" t="s">
        <v>408</v>
      </c>
      <c r="B361" s="55" t="s">
        <v>119</v>
      </c>
      <c r="C361" s="339">
        <f t="shared" si="112"/>
        <v>0</v>
      </c>
      <c r="D361" s="339">
        <f t="shared" si="112"/>
        <v>0</v>
      </c>
      <c r="E361" s="223">
        <f t="shared" si="113"/>
        <v>4146.844</v>
      </c>
      <c r="F361" s="224">
        <f t="shared" si="103"/>
        <v>4146.844</v>
      </c>
      <c r="G361" s="338" t="e">
        <f t="shared" si="104"/>
        <v>#DIV/0!</v>
      </c>
      <c r="H361" s="202"/>
      <c r="I361" s="202"/>
      <c r="J361" s="202">
        <v>4146.844</v>
      </c>
      <c r="K361" s="203">
        <f t="shared" si="105"/>
        <v>4146.844</v>
      </c>
      <c r="L361" s="338" t="e">
        <f t="shared" si="106"/>
        <v>#DIV/0!</v>
      </c>
      <c r="M361" s="208"/>
      <c r="N361" s="208"/>
      <c r="O361" s="208"/>
      <c r="P361" s="337">
        <f t="shared" si="107"/>
        <v>0</v>
      </c>
      <c r="Q361" s="338" t="e">
        <f t="shared" si="108"/>
        <v>#DIV/0!</v>
      </c>
    </row>
    <row r="362" spans="1:17" s="47" customFormat="1" ht="22.5" customHeight="1">
      <c r="A362" s="67" t="s">
        <v>409</v>
      </c>
      <c r="B362" s="55" t="s">
        <v>120</v>
      </c>
      <c r="C362" s="339">
        <f t="shared" si="112"/>
        <v>0</v>
      </c>
      <c r="D362" s="339">
        <f t="shared" si="112"/>
        <v>0</v>
      </c>
      <c r="E362" s="223">
        <f t="shared" si="113"/>
        <v>2023.925</v>
      </c>
      <c r="F362" s="224">
        <f t="shared" si="103"/>
        <v>2023.925</v>
      </c>
      <c r="G362" s="338" t="e">
        <f t="shared" si="104"/>
        <v>#DIV/0!</v>
      </c>
      <c r="H362" s="202"/>
      <c r="I362" s="202"/>
      <c r="J362" s="202">
        <v>2023.925</v>
      </c>
      <c r="K362" s="203">
        <f t="shared" si="105"/>
        <v>2023.925</v>
      </c>
      <c r="L362" s="338" t="e">
        <f t="shared" si="106"/>
        <v>#DIV/0!</v>
      </c>
      <c r="M362" s="208"/>
      <c r="N362" s="208"/>
      <c r="O362" s="208"/>
      <c r="P362" s="337">
        <f t="shared" si="107"/>
        <v>0</v>
      </c>
      <c r="Q362" s="338" t="e">
        <f t="shared" si="108"/>
        <v>#DIV/0!</v>
      </c>
    </row>
    <row r="363" spans="1:17" s="47" customFormat="1" ht="22.5" customHeight="1">
      <c r="A363" s="67" t="s">
        <v>442</v>
      </c>
      <c r="B363" s="55">
        <v>14235900</v>
      </c>
      <c r="C363" s="339">
        <f>H363+M363</f>
        <v>0</v>
      </c>
      <c r="D363" s="339">
        <f>I363+N363</f>
        <v>0</v>
      </c>
      <c r="E363" s="223">
        <f>J363+O363</f>
        <v>20700.33</v>
      </c>
      <c r="F363" s="224">
        <f t="shared" si="103"/>
        <v>20700.33</v>
      </c>
      <c r="G363" s="338" t="e">
        <f t="shared" si="104"/>
        <v>#DIV/0!</v>
      </c>
      <c r="H363" s="202"/>
      <c r="I363" s="202"/>
      <c r="J363" s="202">
        <v>20612.485</v>
      </c>
      <c r="K363" s="203">
        <f t="shared" si="105"/>
        <v>20612.485</v>
      </c>
      <c r="L363" s="338" t="e">
        <f t="shared" si="106"/>
        <v>#DIV/0!</v>
      </c>
      <c r="M363" s="208"/>
      <c r="N363" s="208"/>
      <c r="O363" s="208">
        <v>87.845</v>
      </c>
      <c r="P363" s="203">
        <f t="shared" si="107"/>
        <v>87.845</v>
      </c>
      <c r="Q363" s="338" t="e">
        <f t="shared" si="108"/>
        <v>#DIV/0!</v>
      </c>
    </row>
    <row r="364" spans="1:17" s="47" customFormat="1" ht="22.5" customHeight="1">
      <c r="A364" s="66" t="s">
        <v>410</v>
      </c>
      <c r="B364" s="58">
        <v>14236</v>
      </c>
      <c r="C364" s="347">
        <f>C365+C366+C367+C368+C369+C370+C371</f>
        <v>0</v>
      </c>
      <c r="D364" s="347">
        <f>D365+D366+D367+D368+D369+D370+D371</f>
        <v>0</v>
      </c>
      <c r="E364" s="228">
        <f>E365+E366+E367+E368+E369+E370+E371</f>
        <v>67708.485</v>
      </c>
      <c r="F364" s="226">
        <f t="shared" si="103"/>
        <v>67708.485</v>
      </c>
      <c r="G364" s="342" t="e">
        <f t="shared" si="104"/>
        <v>#DIV/0!</v>
      </c>
      <c r="H364" s="340">
        <f>H365+H366+H367+H368+H369+H370+H371</f>
        <v>0</v>
      </c>
      <c r="I364" s="340">
        <f>I365+I366+I367+I368+I369+I370+I371</f>
        <v>0</v>
      </c>
      <c r="J364" s="209">
        <f>J365+J366+J367+J368+J369+J370+J371</f>
        <v>66228.948</v>
      </c>
      <c r="K364" s="205">
        <f t="shared" si="105"/>
        <v>66228.948</v>
      </c>
      <c r="L364" s="342" t="e">
        <f t="shared" si="106"/>
        <v>#DIV/0!</v>
      </c>
      <c r="M364" s="340">
        <f>M365+M366+M367+M368+M369+M370+M371</f>
        <v>0</v>
      </c>
      <c r="N364" s="340">
        <f>N365+N366+N367+N368+N369+N370+N371</f>
        <v>0</v>
      </c>
      <c r="O364" s="209">
        <f>O365+O366+O367+O368+O369+O370+O371</f>
        <v>1479.537</v>
      </c>
      <c r="P364" s="205">
        <f t="shared" si="107"/>
        <v>1479.537</v>
      </c>
      <c r="Q364" s="342" t="e">
        <f t="shared" si="108"/>
        <v>#DIV/0!</v>
      </c>
    </row>
    <row r="365" spans="1:17" s="47" customFormat="1" ht="22.5" customHeight="1">
      <c r="A365" s="67" t="s">
        <v>411</v>
      </c>
      <c r="B365" s="55">
        <v>14236100</v>
      </c>
      <c r="C365" s="339">
        <f aca="true" t="shared" si="114" ref="C365:D371">H365+M365</f>
        <v>0</v>
      </c>
      <c r="D365" s="339">
        <f t="shared" si="114"/>
        <v>0</v>
      </c>
      <c r="E365" s="223">
        <f aca="true" t="shared" si="115" ref="E365:E370">J365+O365</f>
        <v>69.61</v>
      </c>
      <c r="F365" s="224">
        <f t="shared" si="103"/>
        <v>69.61</v>
      </c>
      <c r="G365" s="338" t="e">
        <f t="shared" si="104"/>
        <v>#DIV/0!</v>
      </c>
      <c r="H365" s="202"/>
      <c r="I365" s="202"/>
      <c r="J365" s="202">
        <v>69.61</v>
      </c>
      <c r="K365" s="203">
        <f t="shared" si="105"/>
        <v>69.61</v>
      </c>
      <c r="L365" s="338" t="e">
        <f t="shared" si="106"/>
        <v>#DIV/0!</v>
      </c>
      <c r="M365" s="208"/>
      <c r="N365" s="208"/>
      <c r="O365" s="208"/>
      <c r="P365" s="337">
        <f t="shared" si="107"/>
        <v>0</v>
      </c>
      <c r="Q365" s="338" t="e">
        <f t="shared" si="108"/>
        <v>#DIV/0!</v>
      </c>
    </row>
    <row r="366" spans="1:17" s="47" customFormat="1" ht="22.5" customHeight="1">
      <c r="A366" s="67" t="s">
        <v>412</v>
      </c>
      <c r="B366" s="55">
        <v>14236200</v>
      </c>
      <c r="C366" s="339">
        <f t="shared" si="114"/>
        <v>0</v>
      </c>
      <c r="D366" s="339">
        <f t="shared" si="114"/>
        <v>0</v>
      </c>
      <c r="E366" s="223">
        <f t="shared" si="115"/>
        <v>959.017</v>
      </c>
      <c r="F366" s="224">
        <f t="shared" si="103"/>
        <v>959.017</v>
      </c>
      <c r="G366" s="338" t="e">
        <f t="shared" si="104"/>
        <v>#DIV/0!</v>
      </c>
      <c r="H366" s="202"/>
      <c r="I366" s="202"/>
      <c r="J366" s="202">
        <v>959.017</v>
      </c>
      <c r="K366" s="203">
        <f t="shared" si="105"/>
        <v>959.017</v>
      </c>
      <c r="L366" s="338" t="e">
        <f t="shared" si="106"/>
        <v>#DIV/0!</v>
      </c>
      <c r="M366" s="208"/>
      <c r="N366" s="208"/>
      <c r="O366" s="208"/>
      <c r="P366" s="337">
        <f t="shared" si="107"/>
        <v>0</v>
      </c>
      <c r="Q366" s="338" t="e">
        <f t="shared" si="108"/>
        <v>#DIV/0!</v>
      </c>
    </row>
    <row r="367" spans="1:17" s="47" customFormat="1" ht="22.5" customHeight="1">
      <c r="A367" s="67" t="s">
        <v>413</v>
      </c>
      <c r="B367" s="55">
        <v>14236300</v>
      </c>
      <c r="C367" s="339">
        <f t="shared" si="114"/>
        <v>0</v>
      </c>
      <c r="D367" s="339">
        <f t="shared" si="114"/>
        <v>0</v>
      </c>
      <c r="E367" s="223">
        <f t="shared" si="115"/>
        <v>4768.577</v>
      </c>
      <c r="F367" s="224">
        <f t="shared" si="103"/>
        <v>4768.577</v>
      </c>
      <c r="G367" s="338" t="e">
        <f t="shared" si="104"/>
        <v>#DIV/0!</v>
      </c>
      <c r="H367" s="202"/>
      <c r="I367" s="202"/>
      <c r="J367" s="202">
        <v>4768.577</v>
      </c>
      <c r="K367" s="203">
        <f t="shared" si="105"/>
        <v>4768.577</v>
      </c>
      <c r="L367" s="338" t="e">
        <f t="shared" si="106"/>
        <v>#DIV/0!</v>
      </c>
      <c r="M367" s="208"/>
      <c r="N367" s="208"/>
      <c r="O367" s="208"/>
      <c r="P367" s="337">
        <f t="shared" si="107"/>
        <v>0</v>
      </c>
      <c r="Q367" s="338" t="e">
        <f t="shared" si="108"/>
        <v>#DIV/0!</v>
      </c>
    </row>
    <row r="368" spans="1:17" s="47" customFormat="1" ht="22.5" customHeight="1">
      <c r="A368" s="67" t="s">
        <v>414</v>
      </c>
      <c r="B368" s="55">
        <v>14236400</v>
      </c>
      <c r="C368" s="339">
        <f t="shared" si="114"/>
        <v>0</v>
      </c>
      <c r="D368" s="339">
        <f t="shared" si="114"/>
        <v>0</v>
      </c>
      <c r="E368" s="223">
        <f t="shared" si="115"/>
        <v>13354.924</v>
      </c>
      <c r="F368" s="224">
        <f t="shared" si="103"/>
        <v>13354.924</v>
      </c>
      <c r="G368" s="338" t="e">
        <f t="shared" si="104"/>
        <v>#DIV/0!</v>
      </c>
      <c r="H368" s="202"/>
      <c r="I368" s="202"/>
      <c r="J368" s="202">
        <v>13354.924</v>
      </c>
      <c r="K368" s="203">
        <f t="shared" si="105"/>
        <v>13354.924</v>
      </c>
      <c r="L368" s="338" t="e">
        <f t="shared" si="106"/>
        <v>#DIV/0!</v>
      </c>
      <c r="M368" s="208"/>
      <c r="N368" s="208"/>
      <c r="O368" s="208"/>
      <c r="P368" s="337">
        <f t="shared" si="107"/>
        <v>0</v>
      </c>
      <c r="Q368" s="338" t="e">
        <f t="shared" si="108"/>
        <v>#DIV/0!</v>
      </c>
    </row>
    <row r="369" spans="1:17" s="47" customFormat="1" ht="22.5" customHeight="1">
      <c r="A369" s="67" t="s">
        <v>415</v>
      </c>
      <c r="B369" s="55">
        <v>14236500</v>
      </c>
      <c r="C369" s="339">
        <f t="shared" si="114"/>
        <v>0</v>
      </c>
      <c r="D369" s="339">
        <f t="shared" si="114"/>
        <v>0</v>
      </c>
      <c r="E369" s="223">
        <f t="shared" si="115"/>
        <v>231.137</v>
      </c>
      <c r="F369" s="224">
        <f t="shared" si="103"/>
        <v>231.137</v>
      </c>
      <c r="G369" s="338" t="e">
        <f t="shared" si="104"/>
        <v>#DIV/0!</v>
      </c>
      <c r="H369" s="202"/>
      <c r="I369" s="202"/>
      <c r="J369" s="202">
        <v>238.804</v>
      </c>
      <c r="K369" s="203">
        <f t="shared" si="105"/>
        <v>238.804</v>
      </c>
      <c r="L369" s="338" t="e">
        <f t="shared" si="106"/>
        <v>#DIV/0!</v>
      </c>
      <c r="M369" s="208"/>
      <c r="N369" s="208"/>
      <c r="O369" s="208">
        <v>-7.667</v>
      </c>
      <c r="P369" s="203">
        <f t="shared" si="107"/>
        <v>-7.667</v>
      </c>
      <c r="Q369" s="338" t="e">
        <f t="shared" si="108"/>
        <v>#DIV/0!</v>
      </c>
    </row>
    <row r="370" spans="1:17" s="47" customFormat="1" ht="22.5" customHeight="1">
      <c r="A370" s="67" t="s">
        <v>416</v>
      </c>
      <c r="B370" s="55">
        <v>14236600</v>
      </c>
      <c r="C370" s="339">
        <f t="shared" si="114"/>
        <v>0</v>
      </c>
      <c r="D370" s="339">
        <f t="shared" si="114"/>
        <v>0</v>
      </c>
      <c r="E370" s="223">
        <f t="shared" si="115"/>
        <v>35773.193</v>
      </c>
      <c r="F370" s="224">
        <f t="shared" si="103"/>
        <v>35773.193</v>
      </c>
      <c r="G370" s="338" t="e">
        <f t="shared" si="104"/>
        <v>#DIV/0!</v>
      </c>
      <c r="H370" s="202"/>
      <c r="I370" s="202"/>
      <c r="J370" s="202">
        <v>35766.178</v>
      </c>
      <c r="K370" s="203">
        <f t="shared" si="105"/>
        <v>35766.178</v>
      </c>
      <c r="L370" s="338" t="e">
        <f t="shared" si="106"/>
        <v>#DIV/0!</v>
      </c>
      <c r="M370" s="208"/>
      <c r="N370" s="208"/>
      <c r="O370" s="208">
        <v>7.015</v>
      </c>
      <c r="P370" s="203">
        <f t="shared" si="107"/>
        <v>7.015</v>
      </c>
      <c r="Q370" s="338" t="e">
        <f t="shared" si="108"/>
        <v>#DIV/0!</v>
      </c>
    </row>
    <row r="371" spans="1:17" s="47" customFormat="1" ht="22.5" customHeight="1">
      <c r="A371" s="67" t="s">
        <v>417</v>
      </c>
      <c r="B371" s="55">
        <v>14236900</v>
      </c>
      <c r="C371" s="339">
        <f t="shared" si="114"/>
        <v>0</v>
      </c>
      <c r="D371" s="339">
        <f t="shared" si="114"/>
        <v>0</v>
      </c>
      <c r="E371" s="223">
        <f>J371+O371</f>
        <v>12552.027</v>
      </c>
      <c r="F371" s="224">
        <f t="shared" si="103"/>
        <v>12552.027</v>
      </c>
      <c r="G371" s="338" t="e">
        <f t="shared" si="104"/>
        <v>#DIV/0!</v>
      </c>
      <c r="H371" s="202"/>
      <c r="I371" s="202"/>
      <c r="J371" s="202">
        <v>11071.838</v>
      </c>
      <c r="K371" s="203">
        <f t="shared" si="105"/>
        <v>11071.838</v>
      </c>
      <c r="L371" s="338" t="e">
        <f t="shared" si="106"/>
        <v>#DIV/0!</v>
      </c>
      <c r="M371" s="208"/>
      <c r="N371" s="208"/>
      <c r="O371" s="208">
        <v>1480.189</v>
      </c>
      <c r="P371" s="203">
        <f t="shared" si="107"/>
        <v>1480.189</v>
      </c>
      <c r="Q371" s="338" t="e">
        <f t="shared" si="108"/>
        <v>#DIV/0!</v>
      </c>
    </row>
    <row r="372" spans="1:17" s="47" customFormat="1" ht="22.5" customHeight="1">
      <c r="A372" s="66" t="s">
        <v>418</v>
      </c>
      <c r="B372" s="58">
        <v>14237</v>
      </c>
      <c r="C372" s="347">
        <f>C373+C374+C375+C376+C377+C378+C379+C380</f>
        <v>0</v>
      </c>
      <c r="D372" s="347">
        <f>D373+D374+D375+D376+D377+D378+D379+D380</f>
        <v>0</v>
      </c>
      <c r="E372" s="228">
        <f>E373+E374+E375+E376+E377+E378+E379+E380</f>
        <v>1048293.1070000001</v>
      </c>
      <c r="F372" s="226">
        <f t="shared" si="103"/>
        <v>1048293.1070000001</v>
      </c>
      <c r="G372" s="342" t="e">
        <f t="shared" si="104"/>
        <v>#DIV/0!</v>
      </c>
      <c r="H372" s="340">
        <f>H373+H374+H375+H376+H377+H378+H379+H380</f>
        <v>0</v>
      </c>
      <c r="I372" s="340">
        <f>I373+I374+I375+I376+I377+I378+I379+I380</f>
        <v>0</v>
      </c>
      <c r="J372" s="209">
        <f>J373+J374+J375+J376+J377+J378+J379+J380</f>
        <v>1048237.295</v>
      </c>
      <c r="K372" s="205">
        <f t="shared" si="105"/>
        <v>1048237.295</v>
      </c>
      <c r="L372" s="342" t="e">
        <f t="shared" si="106"/>
        <v>#DIV/0!</v>
      </c>
      <c r="M372" s="209">
        <f>M373+M374+M375+M376+M377+M378+M379+M380</f>
        <v>0</v>
      </c>
      <c r="N372" s="209">
        <f>N373+N374+N375+N376+N377+N378+N379+N380</f>
        <v>0</v>
      </c>
      <c r="O372" s="209">
        <f>O373+O374+O375+O376+O377+O378+O379+O380</f>
        <v>55.812000000000005</v>
      </c>
      <c r="P372" s="205">
        <f t="shared" si="107"/>
        <v>55.812000000000005</v>
      </c>
      <c r="Q372" s="342" t="e">
        <f t="shared" si="108"/>
        <v>#DIV/0!</v>
      </c>
    </row>
    <row r="373" spans="1:17" s="47" customFormat="1" ht="22.5" customHeight="1">
      <c r="A373" s="67" t="s">
        <v>419</v>
      </c>
      <c r="B373" s="55">
        <v>14237100</v>
      </c>
      <c r="C373" s="339">
        <f>H373+M373</f>
        <v>0</v>
      </c>
      <c r="D373" s="339">
        <f>I373+N373</f>
        <v>0</v>
      </c>
      <c r="E373" s="223">
        <f aca="true" t="shared" si="116" ref="E373:E379">J373+O373</f>
        <v>1068.7669999999998</v>
      </c>
      <c r="F373" s="224">
        <f t="shared" si="103"/>
        <v>1068.7669999999998</v>
      </c>
      <c r="G373" s="338" t="e">
        <f t="shared" si="104"/>
        <v>#DIV/0!</v>
      </c>
      <c r="H373" s="202"/>
      <c r="I373" s="202"/>
      <c r="J373" s="202">
        <v>1067.167</v>
      </c>
      <c r="K373" s="203">
        <f t="shared" si="105"/>
        <v>1067.167</v>
      </c>
      <c r="L373" s="338" t="e">
        <f t="shared" si="106"/>
        <v>#DIV/0!</v>
      </c>
      <c r="M373" s="208"/>
      <c r="N373" s="208"/>
      <c r="O373" s="208">
        <v>1.6</v>
      </c>
      <c r="P373" s="203">
        <f t="shared" si="107"/>
        <v>1.6</v>
      </c>
      <c r="Q373" s="338" t="e">
        <f t="shared" si="108"/>
        <v>#DIV/0!</v>
      </c>
    </row>
    <row r="374" spans="1:17" s="47" customFormat="1" ht="22.5" customHeight="1">
      <c r="A374" s="67" t="s">
        <v>420</v>
      </c>
      <c r="B374" s="55">
        <v>14237200</v>
      </c>
      <c r="C374" s="339">
        <f aca="true" t="shared" si="117" ref="C374:D379">H374+M374</f>
        <v>0</v>
      </c>
      <c r="D374" s="339">
        <f t="shared" si="117"/>
        <v>0</v>
      </c>
      <c r="E374" s="223">
        <f t="shared" si="116"/>
        <v>917.384</v>
      </c>
      <c r="F374" s="224">
        <f t="shared" si="103"/>
        <v>917.384</v>
      </c>
      <c r="G374" s="338" t="e">
        <f t="shared" si="104"/>
        <v>#DIV/0!</v>
      </c>
      <c r="H374" s="202"/>
      <c r="I374" s="202"/>
      <c r="J374" s="202">
        <v>917.384</v>
      </c>
      <c r="K374" s="203">
        <f t="shared" si="105"/>
        <v>917.384</v>
      </c>
      <c r="L374" s="338" t="e">
        <f t="shared" si="106"/>
        <v>#DIV/0!</v>
      </c>
      <c r="M374" s="208"/>
      <c r="N374" s="208"/>
      <c r="O374" s="208"/>
      <c r="P374" s="337">
        <f t="shared" si="107"/>
        <v>0</v>
      </c>
      <c r="Q374" s="338" t="e">
        <f t="shared" si="108"/>
        <v>#DIV/0!</v>
      </c>
    </row>
    <row r="375" spans="1:17" s="47" customFormat="1" ht="22.5" customHeight="1">
      <c r="A375" s="67" t="s">
        <v>421</v>
      </c>
      <c r="B375" s="55">
        <v>14237300</v>
      </c>
      <c r="C375" s="339">
        <f t="shared" si="117"/>
        <v>0</v>
      </c>
      <c r="D375" s="339">
        <f t="shared" si="117"/>
        <v>0</v>
      </c>
      <c r="E375" s="223">
        <f t="shared" si="116"/>
        <v>0.924</v>
      </c>
      <c r="F375" s="224">
        <f t="shared" si="103"/>
        <v>0.924</v>
      </c>
      <c r="G375" s="338" t="e">
        <f t="shared" si="104"/>
        <v>#DIV/0!</v>
      </c>
      <c r="H375" s="202"/>
      <c r="I375" s="202"/>
      <c r="J375" s="202">
        <v>0.924</v>
      </c>
      <c r="K375" s="203">
        <f t="shared" si="105"/>
        <v>0.924</v>
      </c>
      <c r="L375" s="338" t="e">
        <f t="shared" si="106"/>
        <v>#DIV/0!</v>
      </c>
      <c r="M375" s="208"/>
      <c r="N375" s="208"/>
      <c r="O375" s="208"/>
      <c r="P375" s="337">
        <f t="shared" si="107"/>
        <v>0</v>
      </c>
      <c r="Q375" s="338" t="e">
        <f t="shared" si="108"/>
        <v>#DIV/0!</v>
      </c>
    </row>
    <row r="376" spans="1:17" s="47" customFormat="1" ht="22.5" customHeight="1">
      <c r="A376" s="67" t="s">
        <v>422</v>
      </c>
      <c r="B376" s="55">
        <v>14237400</v>
      </c>
      <c r="C376" s="339">
        <f t="shared" si="117"/>
        <v>0</v>
      </c>
      <c r="D376" s="339">
        <f t="shared" si="117"/>
        <v>0</v>
      </c>
      <c r="E376" s="223">
        <f t="shared" si="116"/>
        <v>3207.607</v>
      </c>
      <c r="F376" s="224">
        <f t="shared" si="103"/>
        <v>3207.607</v>
      </c>
      <c r="G376" s="338" t="e">
        <f t="shared" si="104"/>
        <v>#DIV/0!</v>
      </c>
      <c r="H376" s="202"/>
      <c r="I376" s="202"/>
      <c r="J376" s="202">
        <v>3207.607</v>
      </c>
      <c r="K376" s="203">
        <f t="shared" si="105"/>
        <v>3207.607</v>
      </c>
      <c r="L376" s="338" t="e">
        <f t="shared" si="106"/>
        <v>#DIV/0!</v>
      </c>
      <c r="M376" s="208"/>
      <c r="N376" s="208"/>
      <c r="O376" s="208"/>
      <c r="P376" s="337">
        <f t="shared" si="107"/>
        <v>0</v>
      </c>
      <c r="Q376" s="338" t="e">
        <f t="shared" si="108"/>
        <v>#DIV/0!</v>
      </c>
    </row>
    <row r="377" spans="1:17" s="47" customFormat="1" ht="22.5" customHeight="1">
      <c r="A377" s="67" t="s">
        <v>423</v>
      </c>
      <c r="B377" s="55">
        <v>14237500</v>
      </c>
      <c r="C377" s="339">
        <f t="shared" si="117"/>
        <v>0</v>
      </c>
      <c r="D377" s="339">
        <f t="shared" si="117"/>
        <v>0</v>
      </c>
      <c r="E377" s="223">
        <f t="shared" si="116"/>
        <v>21628.248</v>
      </c>
      <c r="F377" s="224">
        <f t="shared" si="103"/>
        <v>21628.248</v>
      </c>
      <c r="G377" s="338" t="e">
        <f t="shared" si="104"/>
        <v>#DIV/0!</v>
      </c>
      <c r="H377" s="202"/>
      <c r="I377" s="202"/>
      <c r="J377" s="202">
        <v>21574.036</v>
      </c>
      <c r="K377" s="203">
        <f t="shared" si="105"/>
        <v>21574.036</v>
      </c>
      <c r="L377" s="338" t="e">
        <f t="shared" si="106"/>
        <v>#DIV/0!</v>
      </c>
      <c r="M377" s="208"/>
      <c r="N377" s="208"/>
      <c r="O377" s="208">
        <v>54.212</v>
      </c>
      <c r="P377" s="203">
        <f t="shared" si="107"/>
        <v>54.212</v>
      </c>
      <c r="Q377" s="338" t="e">
        <f t="shared" si="108"/>
        <v>#DIV/0!</v>
      </c>
    </row>
    <row r="378" spans="1:17" s="47" customFormat="1" ht="22.5" customHeight="1">
      <c r="A378" s="67" t="s">
        <v>424</v>
      </c>
      <c r="B378" s="55">
        <v>14237600</v>
      </c>
      <c r="C378" s="339">
        <f t="shared" si="117"/>
        <v>0</v>
      </c>
      <c r="D378" s="339">
        <f t="shared" si="117"/>
        <v>0</v>
      </c>
      <c r="E378" s="223">
        <f t="shared" si="116"/>
        <v>1014159.091</v>
      </c>
      <c r="F378" s="224">
        <f t="shared" si="103"/>
        <v>1014159.091</v>
      </c>
      <c r="G378" s="338" t="e">
        <f t="shared" si="104"/>
        <v>#DIV/0!</v>
      </c>
      <c r="H378" s="202"/>
      <c r="I378" s="202"/>
      <c r="J378" s="202">
        <v>1014159.091</v>
      </c>
      <c r="K378" s="203">
        <f t="shared" si="105"/>
        <v>1014159.091</v>
      </c>
      <c r="L378" s="338" t="e">
        <f t="shared" si="106"/>
        <v>#DIV/0!</v>
      </c>
      <c r="M378" s="208"/>
      <c r="N378" s="208"/>
      <c r="O378" s="208"/>
      <c r="P378" s="337">
        <f t="shared" si="107"/>
        <v>0</v>
      </c>
      <c r="Q378" s="338" t="e">
        <f t="shared" si="108"/>
        <v>#DIV/0!</v>
      </c>
    </row>
    <row r="379" spans="1:17" s="47" customFormat="1" ht="22.5" customHeight="1">
      <c r="A379" s="67" t="s">
        <v>425</v>
      </c>
      <c r="B379" s="55">
        <v>14237700</v>
      </c>
      <c r="C379" s="339">
        <f t="shared" si="117"/>
        <v>0</v>
      </c>
      <c r="D379" s="339">
        <f t="shared" si="117"/>
        <v>0</v>
      </c>
      <c r="E379" s="223">
        <f t="shared" si="116"/>
        <v>2815.835</v>
      </c>
      <c r="F379" s="224">
        <f t="shared" si="103"/>
        <v>2815.835</v>
      </c>
      <c r="G379" s="338" t="e">
        <f t="shared" si="104"/>
        <v>#DIV/0!</v>
      </c>
      <c r="H379" s="202"/>
      <c r="I379" s="202"/>
      <c r="J379" s="202">
        <v>2815.835</v>
      </c>
      <c r="K379" s="203">
        <f t="shared" si="105"/>
        <v>2815.835</v>
      </c>
      <c r="L379" s="338" t="e">
        <f t="shared" si="106"/>
        <v>#DIV/0!</v>
      </c>
      <c r="M379" s="208"/>
      <c r="N379" s="208"/>
      <c r="O379" s="208"/>
      <c r="P379" s="337">
        <f t="shared" si="107"/>
        <v>0</v>
      </c>
      <c r="Q379" s="338" t="e">
        <f t="shared" si="108"/>
        <v>#DIV/0!</v>
      </c>
    </row>
    <row r="380" spans="1:17" s="47" customFormat="1" ht="22.5" customHeight="1">
      <c r="A380" s="67" t="s">
        <v>426</v>
      </c>
      <c r="B380" s="55">
        <v>14237900</v>
      </c>
      <c r="C380" s="339">
        <f>H380+M380</f>
        <v>0</v>
      </c>
      <c r="D380" s="339">
        <f>I380+N380</f>
        <v>0</v>
      </c>
      <c r="E380" s="223">
        <f>J380+O380</f>
        <v>4495.251</v>
      </c>
      <c r="F380" s="224">
        <f t="shared" si="103"/>
        <v>4495.251</v>
      </c>
      <c r="G380" s="338" t="e">
        <f t="shared" si="104"/>
        <v>#DIV/0!</v>
      </c>
      <c r="H380" s="202"/>
      <c r="I380" s="202"/>
      <c r="J380" s="202">
        <v>4495.251</v>
      </c>
      <c r="K380" s="203">
        <f t="shared" si="105"/>
        <v>4495.251</v>
      </c>
      <c r="L380" s="338" t="e">
        <f t="shared" si="106"/>
        <v>#DIV/0!</v>
      </c>
      <c r="M380" s="208"/>
      <c r="N380" s="208"/>
      <c r="O380" s="208"/>
      <c r="P380" s="337">
        <f t="shared" si="107"/>
        <v>0</v>
      </c>
      <c r="Q380" s="338" t="e">
        <f t="shared" si="108"/>
        <v>#DIV/0!</v>
      </c>
    </row>
    <row r="381" spans="1:17" s="47" customFormat="1" ht="22.5" customHeight="1">
      <c r="A381" s="66" t="s">
        <v>427</v>
      </c>
      <c r="B381" s="58">
        <v>14238</v>
      </c>
      <c r="C381" s="347">
        <f>C382+C383+C384+C385+C386+C387+C388+C389</f>
        <v>0</v>
      </c>
      <c r="D381" s="347">
        <f>D382+D383+D384+D385+D386+D387+D388+D389</f>
        <v>0</v>
      </c>
      <c r="E381" s="228">
        <f>E382+E383+E384+E385+E386+E387+E388+E389</f>
        <v>1490815.561</v>
      </c>
      <c r="F381" s="226">
        <f t="shared" si="103"/>
        <v>1490815.561</v>
      </c>
      <c r="G381" s="342" t="e">
        <f t="shared" si="104"/>
        <v>#DIV/0!</v>
      </c>
      <c r="H381" s="340">
        <f>H382+H383+H384+H385+H386+H387+H388+H389</f>
        <v>0</v>
      </c>
      <c r="I381" s="340">
        <f>I382+I383+I384+I385+I386+I387+I388+I389</f>
        <v>0</v>
      </c>
      <c r="J381" s="209">
        <f>J382+J383+J384+J385+J386+J387+J388+J389</f>
        <v>1249343.405</v>
      </c>
      <c r="K381" s="205">
        <f t="shared" si="105"/>
        <v>1249343.405</v>
      </c>
      <c r="L381" s="342" t="e">
        <f t="shared" si="106"/>
        <v>#DIV/0!</v>
      </c>
      <c r="M381" s="209">
        <f>M382+M383+M384+M385+M386+M387+M388+M389</f>
        <v>0</v>
      </c>
      <c r="N381" s="209">
        <f>N382+N383+N384+N385+N386+N387+N388+N389</f>
        <v>0</v>
      </c>
      <c r="O381" s="209">
        <f>O382+O383+O384+O385+O386+O387+O388+O389</f>
        <v>241472.156</v>
      </c>
      <c r="P381" s="205">
        <f t="shared" si="107"/>
        <v>241472.156</v>
      </c>
      <c r="Q381" s="342" t="e">
        <f t="shared" si="108"/>
        <v>#DIV/0!</v>
      </c>
    </row>
    <row r="382" spans="1:17" s="47" customFormat="1" ht="22.5" customHeight="1">
      <c r="A382" s="67" t="s">
        <v>428</v>
      </c>
      <c r="B382" s="55">
        <v>14238100</v>
      </c>
      <c r="C382" s="339">
        <f>H382+M382</f>
        <v>0</v>
      </c>
      <c r="D382" s="339">
        <f>I382+N382</f>
        <v>0</v>
      </c>
      <c r="E382" s="223">
        <f aca="true" t="shared" si="118" ref="E382:E389">J382+O382</f>
        <v>67458.965</v>
      </c>
      <c r="F382" s="224">
        <f t="shared" si="103"/>
        <v>67458.965</v>
      </c>
      <c r="G382" s="338" t="e">
        <f t="shared" si="104"/>
        <v>#DIV/0!</v>
      </c>
      <c r="H382" s="202"/>
      <c r="I382" s="202"/>
      <c r="J382" s="202">
        <v>58906.879</v>
      </c>
      <c r="K382" s="203">
        <f t="shared" si="105"/>
        <v>58906.879</v>
      </c>
      <c r="L382" s="338" t="e">
        <f t="shared" si="106"/>
        <v>#DIV/0!</v>
      </c>
      <c r="M382" s="208"/>
      <c r="N382" s="208"/>
      <c r="O382" s="208">
        <v>8552.086</v>
      </c>
      <c r="P382" s="203">
        <f t="shared" si="107"/>
        <v>8552.086</v>
      </c>
      <c r="Q382" s="338" t="e">
        <f t="shared" si="108"/>
        <v>#DIV/0!</v>
      </c>
    </row>
    <row r="383" spans="1:17" s="47" customFormat="1" ht="22.5" customHeight="1">
      <c r="A383" s="67" t="s">
        <v>429</v>
      </c>
      <c r="B383" s="55">
        <v>14238200</v>
      </c>
      <c r="C383" s="339">
        <f aca="true" t="shared" si="119" ref="C383:D389">H383+M383</f>
        <v>0</v>
      </c>
      <c r="D383" s="339">
        <f t="shared" si="119"/>
        <v>0</v>
      </c>
      <c r="E383" s="223">
        <f t="shared" si="118"/>
        <v>5788.322</v>
      </c>
      <c r="F383" s="224">
        <f t="shared" si="103"/>
        <v>5788.322</v>
      </c>
      <c r="G383" s="338" t="e">
        <f t="shared" si="104"/>
        <v>#DIV/0!</v>
      </c>
      <c r="H383" s="202"/>
      <c r="I383" s="202"/>
      <c r="J383" s="202">
        <v>5788.322</v>
      </c>
      <c r="K383" s="203">
        <f t="shared" si="105"/>
        <v>5788.322</v>
      </c>
      <c r="L383" s="338" t="e">
        <f t="shared" si="106"/>
        <v>#DIV/0!</v>
      </c>
      <c r="M383" s="208"/>
      <c r="N383" s="208"/>
      <c r="O383" s="208"/>
      <c r="P383" s="337">
        <f t="shared" si="107"/>
        <v>0</v>
      </c>
      <c r="Q383" s="338" t="e">
        <f t="shared" si="108"/>
        <v>#DIV/0!</v>
      </c>
    </row>
    <row r="384" spans="1:17" s="47" customFormat="1" ht="22.5" customHeight="1">
      <c r="A384" s="67" t="s">
        <v>430</v>
      </c>
      <c r="B384" s="55">
        <v>14238300</v>
      </c>
      <c r="C384" s="339">
        <f t="shared" si="119"/>
        <v>0</v>
      </c>
      <c r="D384" s="339">
        <f t="shared" si="119"/>
        <v>0</v>
      </c>
      <c r="E384" s="223">
        <f t="shared" si="118"/>
        <v>28840.91</v>
      </c>
      <c r="F384" s="224">
        <f t="shared" si="103"/>
        <v>28840.91</v>
      </c>
      <c r="G384" s="338" t="e">
        <f t="shared" si="104"/>
        <v>#DIV/0!</v>
      </c>
      <c r="H384" s="202"/>
      <c r="I384" s="202"/>
      <c r="J384" s="202">
        <v>28810.56</v>
      </c>
      <c r="K384" s="203">
        <f t="shared" si="105"/>
        <v>28810.56</v>
      </c>
      <c r="L384" s="338" t="e">
        <f t="shared" si="106"/>
        <v>#DIV/0!</v>
      </c>
      <c r="M384" s="208"/>
      <c r="N384" s="208"/>
      <c r="O384" s="208">
        <v>30.35</v>
      </c>
      <c r="P384" s="203">
        <f t="shared" si="107"/>
        <v>30.35</v>
      </c>
      <c r="Q384" s="338" t="e">
        <f t="shared" si="108"/>
        <v>#DIV/0!</v>
      </c>
    </row>
    <row r="385" spans="1:17" s="47" customFormat="1" ht="22.5" customHeight="1">
      <c r="A385" s="67" t="s">
        <v>431</v>
      </c>
      <c r="B385" s="55">
        <v>14238400</v>
      </c>
      <c r="C385" s="339">
        <f t="shared" si="119"/>
        <v>0</v>
      </c>
      <c r="D385" s="339">
        <f t="shared" si="119"/>
        <v>0</v>
      </c>
      <c r="E385" s="223">
        <f t="shared" si="118"/>
        <v>63.01</v>
      </c>
      <c r="F385" s="224">
        <f t="shared" si="103"/>
        <v>63.01</v>
      </c>
      <c r="G385" s="338" t="e">
        <f t="shared" si="104"/>
        <v>#DIV/0!</v>
      </c>
      <c r="H385" s="202"/>
      <c r="I385" s="202"/>
      <c r="J385" s="202">
        <v>0.11</v>
      </c>
      <c r="K385" s="203">
        <f t="shared" si="105"/>
        <v>0.11</v>
      </c>
      <c r="L385" s="338" t="e">
        <f t="shared" si="106"/>
        <v>#DIV/0!</v>
      </c>
      <c r="M385" s="208"/>
      <c r="N385" s="208"/>
      <c r="O385" s="208">
        <v>62.9</v>
      </c>
      <c r="P385" s="203">
        <f t="shared" si="107"/>
        <v>62.9</v>
      </c>
      <c r="Q385" s="338" t="e">
        <f t="shared" si="108"/>
        <v>#DIV/0!</v>
      </c>
    </row>
    <row r="386" spans="1:17" s="47" customFormat="1" ht="22.5" customHeight="1">
      <c r="A386" s="67" t="s">
        <v>432</v>
      </c>
      <c r="B386" s="55">
        <v>14238500</v>
      </c>
      <c r="C386" s="339">
        <f t="shared" si="119"/>
        <v>0</v>
      </c>
      <c r="D386" s="339">
        <f t="shared" si="119"/>
        <v>0</v>
      </c>
      <c r="E386" s="223">
        <f t="shared" si="118"/>
        <v>1</v>
      </c>
      <c r="F386" s="224">
        <f t="shared" si="103"/>
        <v>1</v>
      </c>
      <c r="G386" s="338" t="e">
        <f t="shared" si="104"/>
        <v>#DIV/0!</v>
      </c>
      <c r="H386" s="202"/>
      <c r="I386" s="202"/>
      <c r="J386" s="202">
        <v>1</v>
      </c>
      <c r="K386" s="203">
        <f t="shared" si="105"/>
        <v>1</v>
      </c>
      <c r="L386" s="338" t="e">
        <f t="shared" si="106"/>
        <v>#DIV/0!</v>
      </c>
      <c r="M386" s="208"/>
      <c r="N386" s="208"/>
      <c r="O386" s="208"/>
      <c r="P386" s="337">
        <f t="shared" si="107"/>
        <v>0</v>
      </c>
      <c r="Q386" s="338" t="e">
        <f t="shared" si="108"/>
        <v>#DIV/0!</v>
      </c>
    </row>
    <row r="387" spans="1:17" s="47" customFormat="1" ht="22.5" customHeight="1">
      <c r="A387" s="67" t="s">
        <v>433</v>
      </c>
      <c r="B387" s="55">
        <v>14238600</v>
      </c>
      <c r="C387" s="339">
        <f t="shared" si="119"/>
        <v>0</v>
      </c>
      <c r="D387" s="339">
        <f t="shared" si="119"/>
        <v>0</v>
      </c>
      <c r="E387" s="223">
        <f t="shared" si="118"/>
        <v>437.457</v>
      </c>
      <c r="F387" s="224">
        <f t="shared" si="103"/>
        <v>437.457</v>
      </c>
      <c r="G387" s="338" t="e">
        <f t="shared" si="104"/>
        <v>#DIV/0!</v>
      </c>
      <c r="H387" s="202"/>
      <c r="I387" s="202"/>
      <c r="J387" s="202">
        <v>437.457</v>
      </c>
      <c r="K387" s="203">
        <f t="shared" si="105"/>
        <v>437.457</v>
      </c>
      <c r="L387" s="338" t="e">
        <f t="shared" si="106"/>
        <v>#DIV/0!</v>
      </c>
      <c r="M387" s="208"/>
      <c r="N387" s="208"/>
      <c r="O387" s="208"/>
      <c r="P387" s="337">
        <f t="shared" si="107"/>
        <v>0</v>
      </c>
      <c r="Q387" s="338" t="e">
        <f t="shared" si="108"/>
        <v>#DIV/0!</v>
      </c>
    </row>
    <row r="388" spans="1:17" s="47" customFormat="1" ht="22.5" customHeight="1">
      <c r="A388" s="67" t="s">
        <v>434</v>
      </c>
      <c r="B388" s="55">
        <v>14238700</v>
      </c>
      <c r="C388" s="339">
        <f t="shared" si="119"/>
        <v>0</v>
      </c>
      <c r="D388" s="339">
        <f t="shared" si="119"/>
        <v>0</v>
      </c>
      <c r="E388" s="223">
        <f t="shared" si="118"/>
        <v>996.0790000000001</v>
      </c>
      <c r="F388" s="224">
        <f t="shared" si="103"/>
        <v>996.0790000000001</v>
      </c>
      <c r="G388" s="338" t="e">
        <f t="shared" si="104"/>
        <v>#DIV/0!</v>
      </c>
      <c r="H388" s="202"/>
      <c r="I388" s="202"/>
      <c r="J388" s="202">
        <v>995.479</v>
      </c>
      <c r="K388" s="203">
        <f t="shared" si="105"/>
        <v>995.479</v>
      </c>
      <c r="L388" s="338" t="e">
        <f t="shared" si="106"/>
        <v>#DIV/0!</v>
      </c>
      <c r="M388" s="208"/>
      <c r="N388" s="208"/>
      <c r="O388" s="208">
        <v>0.6</v>
      </c>
      <c r="P388" s="203">
        <f t="shared" si="107"/>
        <v>0.6</v>
      </c>
      <c r="Q388" s="338" t="e">
        <f t="shared" si="108"/>
        <v>#DIV/0!</v>
      </c>
    </row>
    <row r="389" spans="1:17" s="47" customFormat="1" ht="22.5" customHeight="1">
      <c r="A389" s="67" t="s">
        <v>435</v>
      </c>
      <c r="B389" s="55">
        <v>14238900</v>
      </c>
      <c r="C389" s="339">
        <f t="shared" si="119"/>
        <v>0</v>
      </c>
      <c r="D389" s="339">
        <f t="shared" si="119"/>
        <v>0</v>
      </c>
      <c r="E389" s="223">
        <f t="shared" si="118"/>
        <v>1387229.818</v>
      </c>
      <c r="F389" s="224">
        <f t="shared" si="103"/>
        <v>1387229.818</v>
      </c>
      <c r="G389" s="338" t="e">
        <f t="shared" si="104"/>
        <v>#DIV/0!</v>
      </c>
      <c r="H389" s="202"/>
      <c r="I389" s="202"/>
      <c r="J389" s="202">
        <f>906868.42+247535.178</f>
        <v>1154403.598</v>
      </c>
      <c r="K389" s="203">
        <f t="shared" si="105"/>
        <v>1154403.598</v>
      </c>
      <c r="L389" s="338" t="e">
        <f t="shared" si="106"/>
        <v>#DIV/0!</v>
      </c>
      <c r="M389" s="208"/>
      <c r="N389" s="208"/>
      <c r="O389" s="208">
        <v>232826.22</v>
      </c>
      <c r="P389" s="203">
        <f t="shared" si="107"/>
        <v>232826.22</v>
      </c>
      <c r="Q389" s="338" t="e">
        <f t="shared" si="108"/>
        <v>#DIV/0!</v>
      </c>
    </row>
    <row r="390" spans="1:17" s="47" customFormat="1" ht="22.5" customHeight="1">
      <c r="A390" s="66" t="s">
        <v>436</v>
      </c>
      <c r="B390" s="58">
        <v>14239</v>
      </c>
      <c r="C390" s="347">
        <f>C391+C392+C393+C394+C395+C396</f>
        <v>0</v>
      </c>
      <c r="D390" s="347">
        <f>D391+D392+D393+D394+D395+D396</f>
        <v>0</v>
      </c>
      <c r="E390" s="228">
        <f>E391+E392+E393+E394+E395+E396</f>
        <v>207386.318</v>
      </c>
      <c r="F390" s="226">
        <f t="shared" si="103"/>
        <v>207386.318</v>
      </c>
      <c r="G390" s="342" t="e">
        <f t="shared" si="104"/>
        <v>#DIV/0!</v>
      </c>
      <c r="H390" s="340">
        <f>H391+H392+H393+H394+H395+H396</f>
        <v>0</v>
      </c>
      <c r="I390" s="340">
        <f>I391+I392+I393+I394+I395+I396</f>
        <v>0</v>
      </c>
      <c r="J390" s="209">
        <f>J391+J392+J393+J394+J395+J396</f>
        <v>192281.99</v>
      </c>
      <c r="K390" s="205">
        <f t="shared" si="105"/>
        <v>192281.99</v>
      </c>
      <c r="L390" s="342" t="e">
        <f t="shared" si="106"/>
        <v>#DIV/0!</v>
      </c>
      <c r="M390" s="209">
        <f>M391+M392+M393+M394+M395+M396</f>
        <v>0</v>
      </c>
      <c r="N390" s="209">
        <f>N391+N392+N393+N394+N395+N396</f>
        <v>0</v>
      </c>
      <c r="O390" s="209">
        <f>O391+O392+O393+O394+O395+O396</f>
        <v>15104.328000000001</v>
      </c>
      <c r="P390" s="205">
        <f t="shared" si="107"/>
        <v>15104.328000000001</v>
      </c>
      <c r="Q390" s="342" t="e">
        <f t="shared" si="108"/>
        <v>#DIV/0!</v>
      </c>
    </row>
    <row r="391" spans="1:17" s="47" customFormat="1" ht="22.5" customHeight="1">
      <c r="A391" s="67" t="s">
        <v>437</v>
      </c>
      <c r="B391" s="55">
        <v>14239100</v>
      </c>
      <c r="C391" s="339">
        <f aca="true" t="shared" si="120" ref="C391:E396">H391+M391</f>
        <v>0</v>
      </c>
      <c r="D391" s="339">
        <f t="shared" si="120"/>
        <v>0</v>
      </c>
      <c r="E391" s="223">
        <f t="shared" si="120"/>
        <v>71.849</v>
      </c>
      <c r="F391" s="224">
        <f t="shared" si="103"/>
        <v>71.849</v>
      </c>
      <c r="G391" s="338" t="e">
        <f t="shared" si="104"/>
        <v>#DIV/0!</v>
      </c>
      <c r="H391" s="202"/>
      <c r="I391" s="202"/>
      <c r="J391" s="202">
        <v>12.723</v>
      </c>
      <c r="K391" s="203">
        <f t="shared" si="105"/>
        <v>12.723</v>
      </c>
      <c r="L391" s="338" t="e">
        <f t="shared" si="106"/>
        <v>#DIV/0!</v>
      </c>
      <c r="M391" s="208"/>
      <c r="N391" s="208"/>
      <c r="O391" s="208">
        <v>59.126</v>
      </c>
      <c r="P391" s="203">
        <f t="shared" si="107"/>
        <v>59.126</v>
      </c>
      <c r="Q391" s="338" t="e">
        <f t="shared" si="108"/>
        <v>#DIV/0!</v>
      </c>
    </row>
    <row r="392" spans="1:17" s="47" customFormat="1" ht="22.5" customHeight="1" hidden="1">
      <c r="A392" s="67" t="s">
        <v>438</v>
      </c>
      <c r="B392" s="55">
        <v>14239200</v>
      </c>
      <c r="C392" s="339">
        <f t="shared" si="120"/>
        <v>0</v>
      </c>
      <c r="D392" s="339">
        <f t="shared" si="120"/>
        <v>0</v>
      </c>
      <c r="E392" s="223">
        <f t="shared" si="120"/>
        <v>0</v>
      </c>
      <c r="F392" s="224">
        <f t="shared" si="103"/>
        <v>0</v>
      </c>
      <c r="G392" s="338" t="e">
        <f t="shared" si="104"/>
        <v>#DIV/0!</v>
      </c>
      <c r="H392" s="202"/>
      <c r="I392" s="202"/>
      <c r="J392" s="202"/>
      <c r="K392" s="203">
        <f t="shared" si="105"/>
        <v>0</v>
      </c>
      <c r="L392" s="338" t="e">
        <f t="shared" si="106"/>
        <v>#DIV/0!</v>
      </c>
      <c r="M392" s="208"/>
      <c r="N392" s="208"/>
      <c r="O392" s="208"/>
      <c r="P392" s="203">
        <f t="shared" si="107"/>
        <v>0</v>
      </c>
      <c r="Q392" s="338" t="e">
        <f t="shared" si="108"/>
        <v>#DIV/0!</v>
      </c>
    </row>
    <row r="393" spans="1:17" s="47" customFormat="1" ht="22.5" customHeight="1">
      <c r="A393" s="67" t="s">
        <v>439</v>
      </c>
      <c r="B393" s="55">
        <v>14239300</v>
      </c>
      <c r="C393" s="339">
        <f t="shared" si="120"/>
        <v>0</v>
      </c>
      <c r="D393" s="339">
        <f t="shared" si="120"/>
        <v>0</v>
      </c>
      <c r="E393" s="223">
        <f t="shared" si="120"/>
        <v>-6804.223</v>
      </c>
      <c r="F393" s="224">
        <f t="shared" si="103"/>
        <v>-6804.223</v>
      </c>
      <c r="G393" s="338" t="e">
        <f t="shared" si="104"/>
        <v>#DIV/0!</v>
      </c>
      <c r="H393" s="202"/>
      <c r="I393" s="202"/>
      <c r="J393" s="202">
        <v>-6807.351</v>
      </c>
      <c r="K393" s="203">
        <f t="shared" si="105"/>
        <v>-6807.351</v>
      </c>
      <c r="L393" s="338" t="e">
        <f t="shared" si="106"/>
        <v>#DIV/0!</v>
      </c>
      <c r="M393" s="208"/>
      <c r="N393" s="208"/>
      <c r="O393" s="208">
        <v>3.128</v>
      </c>
      <c r="P393" s="203">
        <f t="shared" si="107"/>
        <v>3.128</v>
      </c>
      <c r="Q393" s="338" t="e">
        <f t="shared" si="108"/>
        <v>#DIV/0!</v>
      </c>
    </row>
    <row r="394" spans="1:17" s="47" customFormat="1" ht="22.5" customHeight="1">
      <c r="A394" s="67" t="s">
        <v>537</v>
      </c>
      <c r="B394" s="55">
        <v>14239400</v>
      </c>
      <c r="C394" s="339">
        <f t="shared" si="120"/>
        <v>0</v>
      </c>
      <c r="D394" s="339">
        <f t="shared" si="120"/>
        <v>0</v>
      </c>
      <c r="E394" s="223">
        <f t="shared" si="120"/>
        <v>33639.324</v>
      </c>
      <c r="F394" s="224">
        <f t="shared" si="103"/>
        <v>33639.324</v>
      </c>
      <c r="G394" s="338" t="e">
        <f t="shared" si="104"/>
        <v>#DIV/0!</v>
      </c>
      <c r="H394" s="202"/>
      <c r="I394" s="202"/>
      <c r="J394" s="202">
        <v>19578.636</v>
      </c>
      <c r="K394" s="203">
        <f t="shared" si="105"/>
        <v>19578.636</v>
      </c>
      <c r="L394" s="338" t="e">
        <f t="shared" si="106"/>
        <v>#DIV/0!</v>
      </c>
      <c r="M394" s="208"/>
      <c r="N394" s="208"/>
      <c r="O394" s="208">
        <v>14060.688</v>
      </c>
      <c r="P394" s="203">
        <f t="shared" si="107"/>
        <v>14060.688</v>
      </c>
      <c r="Q394" s="338" t="e">
        <f t="shared" si="108"/>
        <v>#DIV/0!</v>
      </c>
    </row>
    <row r="395" spans="1:17" s="47" customFormat="1" ht="22.5" customHeight="1">
      <c r="A395" s="67" t="s">
        <v>538</v>
      </c>
      <c r="B395" s="55">
        <v>14239500</v>
      </c>
      <c r="C395" s="339">
        <f t="shared" si="120"/>
        <v>0</v>
      </c>
      <c r="D395" s="339">
        <f t="shared" si="120"/>
        <v>0</v>
      </c>
      <c r="E395" s="223">
        <f t="shared" si="120"/>
        <v>40971.825</v>
      </c>
      <c r="F395" s="224">
        <f t="shared" si="103"/>
        <v>40971.825</v>
      </c>
      <c r="G395" s="338" t="e">
        <f t="shared" si="104"/>
        <v>#DIV/0!</v>
      </c>
      <c r="H395" s="202"/>
      <c r="I395" s="202"/>
      <c r="J395" s="202">
        <v>40966.725</v>
      </c>
      <c r="K395" s="203">
        <f t="shared" si="105"/>
        <v>40966.725</v>
      </c>
      <c r="L395" s="338" t="e">
        <f t="shared" si="106"/>
        <v>#DIV/0!</v>
      </c>
      <c r="M395" s="208"/>
      <c r="N395" s="208"/>
      <c r="O395" s="208">
        <v>5.1</v>
      </c>
      <c r="P395" s="203">
        <f t="shared" si="107"/>
        <v>5.1</v>
      </c>
      <c r="Q395" s="338" t="e">
        <f t="shared" si="108"/>
        <v>#DIV/0!</v>
      </c>
    </row>
    <row r="396" spans="1:17" s="47" customFormat="1" ht="22.5" customHeight="1">
      <c r="A396" s="67" t="s">
        <v>539</v>
      </c>
      <c r="B396" s="55">
        <v>14239900</v>
      </c>
      <c r="C396" s="339">
        <f t="shared" si="120"/>
        <v>0</v>
      </c>
      <c r="D396" s="339">
        <f t="shared" si="120"/>
        <v>0</v>
      </c>
      <c r="E396" s="223">
        <f t="shared" si="120"/>
        <v>139507.543</v>
      </c>
      <c r="F396" s="224">
        <f aca="true" t="shared" si="121" ref="F396:F419">E396-D396</f>
        <v>139507.543</v>
      </c>
      <c r="G396" s="338" t="e">
        <f aca="true" t="shared" si="122" ref="G396:G419">E396/D396*100</f>
        <v>#DIV/0!</v>
      </c>
      <c r="H396" s="202"/>
      <c r="I396" s="202"/>
      <c r="J396" s="202">
        <v>138531.257</v>
      </c>
      <c r="K396" s="203">
        <f aca="true" t="shared" si="123" ref="K396:K419">J396-I396</f>
        <v>138531.257</v>
      </c>
      <c r="L396" s="338" t="e">
        <f aca="true" t="shared" si="124" ref="L396:L419">J396/I396*100</f>
        <v>#DIV/0!</v>
      </c>
      <c r="M396" s="208"/>
      <c r="N396" s="208"/>
      <c r="O396" s="208">
        <v>976.286</v>
      </c>
      <c r="P396" s="203">
        <f aca="true" t="shared" si="125" ref="P396:P419">O396-N396</f>
        <v>976.286</v>
      </c>
      <c r="Q396" s="338" t="e">
        <f aca="true" t="shared" si="126" ref="Q396:Q419">O396/N396*100</f>
        <v>#DIV/0!</v>
      </c>
    </row>
    <row r="397" spans="1:17" s="44" customFormat="1" ht="22.5" customHeight="1">
      <c r="A397" s="66" t="s">
        <v>122</v>
      </c>
      <c r="B397" s="65">
        <v>143</v>
      </c>
      <c r="C397" s="227">
        <f aca="true" t="shared" si="127" ref="C397:E398">C398</f>
        <v>378622</v>
      </c>
      <c r="D397" s="227">
        <f t="shared" si="127"/>
        <v>378622</v>
      </c>
      <c r="E397" s="227">
        <f t="shared" si="127"/>
        <v>766900.303</v>
      </c>
      <c r="F397" s="226">
        <f t="shared" si="121"/>
        <v>388278.30299999996</v>
      </c>
      <c r="G397" s="150">
        <f t="shared" si="122"/>
        <v>202.5503808547839</v>
      </c>
      <c r="H397" s="206">
        <f aca="true" t="shared" si="128" ref="H397:J398">H398</f>
        <v>378622</v>
      </c>
      <c r="I397" s="206">
        <f t="shared" si="128"/>
        <v>378622</v>
      </c>
      <c r="J397" s="206">
        <f t="shared" si="128"/>
        <v>759516.102</v>
      </c>
      <c r="K397" s="205">
        <f t="shared" si="123"/>
        <v>380894.10199999996</v>
      </c>
      <c r="L397" s="150">
        <f t="shared" si="124"/>
        <v>200.60009772279477</v>
      </c>
      <c r="M397" s="206">
        <f aca="true" t="shared" si="129" ref="M397:O398">M398</f>
        <v>0</v>
      </c>
      <c r="N397" s="206">
        <f t="shared" si="129"/>
        <v>0</v>
      </c>
      <c r="O397" s="206">
        <f t="shared" si="129"/>
        <v>7384.201</v>
      </c>
      <c r="P397" s="205">
        <f t="shared" si="125"/>
        <v>7384.201</v>
      </c>
      <c r="Q397" s="342" t="e">
        <f t="shared" si="126"/>
        <v>#DIV/0!</v>
      </c>
    </row>
    <row r="398" spans="1:17" s="44" customFormat="1" ht="22.5" customHeight="1">
      <c r="A398" s="66" t="s">
        <v>440</v>
      </c>
      <c r="B398" s="65">
        <v>1431</v>
      </c>
      <c r="C398" s="227">
        <f t="shared" si="127"/>
        <v>378622</v>
      </c>
      <c r="D398" s="227">
        <f t="shared" si="127"/>
        <v>378622</v>
      </c>
      <c r="E398" s="227">
        <f t="shared" si="127"/>
        <v>766900.303</v>
      </c>
      <c r="F398" s="226">
        <f t="shared" si="121"/>
        <v>388278.30299999996</v>
      </c>
      <c r="G398" s="150">
        <f t="shared" si="122"/>
        <v>202.5503808547839</v>
      </c>
      <c r="H398" s="206">
        <f t="shared" si="128"/>
        <v>378622</v>
      </c>
      <c r="I398" s="206">
        <f t="shared" si="128"/>
        <v>378622</v>
      </c>
      <c r="J398" s="206">
        <f t="shared" si="128"/>
        <v>759516.102</v>
      </c>
      <c r="K398" s="205">
        <f t="shared" si="123"/>
        <v>380894.10199999996</v>
      </c>
      <c r="L398" s="150">
        <f t="shared" si="124"/>
        <v>200.60009772279477</v>
      </c>
      <c r="M398" s="206">
        <f t="shared" si="129"/>
        <v>0</v>
      </c>
      <c r="N398" s="206">
        <f t="shared" si="129"/>
        <v>0</v>
      </c>
      <c r="O398" s="206">
        <f t="shared" si="129"/>
        <v>7384.201</v>
      </c>
      <c r="P398" s="205">
        <f t="shared" si="125"/>
        <v>7384.201</v>
      </c>
      <c r="Q398" s="342" t="e">
        <f t="shared" si="126"/>
        <v>#DIV/0!</v>
      </c>
    </row>
    <row r="399" spans="1:17" s="44" customFormat="1" ht="22.5" customHeight="1">
      <c r="A399" s="66" t="s">
        <v>440</v>
      </c>
      <c r="B399" s="65">
        <v>14311</v>
      </c>
      <c r="C399" s="227">
        <f>C400+C401+C402+C403+C404+C405</f>
        <v>378622</v>
      </c>
      <c r="D399" s="227">
        <f>D400+D401+D402+D403+D404+D405</f>
        <v>378622</v>
      </c>
      <c r="E399" s="227">
        <f>E400+E401+E402+E403+E404+E405</f>
        <v>766900.303</v>
      </c>
      <c r="F399" s="226">
        <f t="shared" si="121"/>
        <v>388278.30299999996</v>
      </c>
      <c r="G399" s="150">
        <f t="shared" si="122"/>
        <v>202.5503808547839</v>
      </c>
      <c r="H399" s="206">
        <f>H400+H401+H402+H403+H404+H405</f>
        <v>378622</v>
      </c>
      <c r="I399" s="206">
        <f>I400+I401+I402+I403+I404+I405</f>
        <v>378622</v>
      </c>
      <c r="J399" s="206">
        <f>J400+J401+J402+J403+J404+J405</f>
        <v>759516.102</v>
      </c>
      <c r="K399" s="205">
        <f t="shared" si="123"/>
        <v>380894.10199999996</v>
      </c>
      <c r="L399" s="150">
        <f t="shared" si="124"/>
        <v>200.60009772279477</v>
      </c>
      <c r="M399" s="206">
        <f>M400+M401+M402+M403+M404+M405</f>
        <v>0</v>
      </c>
      <c r="N399" s="206">
        <f>N400+N401+N402+N403+N404+N405</f>
        <v>0</v>
      </c>
      <c r="O399" s="206">
        <f>O400+O401+O402+O403+O404+O405</f>
        <v>7384.201</v>
      </c>
      <c r="P399" s="205">
        <f t="shared" si="125"/>
        <v>7384.201</v>
      </c>
      <c r="Q399" s="342" t="e">
        <f t="shared" si="126"/>
        <v>#DIV/0!</v>
      </c>
    </row>
    <row r="400" spans="1:17" s="47" customFormat="1" ht="22.5" customHeight="1">
      <c r="A400" s="67" t="s">
        <v>123</v>
      </c>
      <c r="B400" s="56">
        <v>14311100</v>
      </c>
      <c r="C400" s="223">
        <f aca="true" t="shared" si="130" ref="C400:E405">H400+M400</f>
        <v>378622</v>
      </c>
      <c r="D400" s="223">
        <f t="shared" si="130"/>
        <v>378622</v>
      </c>
      <c r="E400" s="223">
        <f t="shared" si="130"/>
        <v>691517.634</v>
      </c>
      <c r="F400" s="224">
        <f t="shared" si="121"/>
        <v>312895.63399999996</v>
      </c>
      <c r="G400" s="151">
        <f t="shared" si="122"/>
        <v>182.6406373639144</v>
      </c>
      <c r="H400" s="202">
        <v>378622</v>
      </c>
      <c r="I400" s="202">
        <v>378622</v>
      </c>
      <c r="J400" s="202">
        <v>689242.897</v>
      </c>
      <c r="K400" s="203">
        <f t="shared" si="123"/>
        <v>310620.897</v>
      </c>
      <c r="L400" s="151">
        <f t="shared" si="124"/>
        <v>182.0398436963515</v>
      </c>
      <c r="M400" s="208"/>
      <c r="N400" s="208"/>
      <c r="O400" s="208">
        <v>2274.737</v>
      </c>
      <c r="P400" s="203">
        <f t="shared" si="125"/>
        <v>2274.737</v>
      </c>
      <c r="Q400" s="338" t="e">
        <f t="shared" si="126"/>
        <v>#DIV/0!</v>
      </c>
    </row>
    <row r="401" spans="1:17" s="47" customFormat="1" ht="22.5" customHeight="1">
      <c r="A401" s="67" t="s">
        <v>124</v>
      </c>
      <c r="B401" s="56">
        <v>14311200</v>
      </c>
      <c r="C401" s="339">
        <f t="shared" si="130"/>
        <v>0</v>
      </c>
      <c r="D401" s="339">
        <f t="shared" si="130"/>
        <v>0</v>
      </c>
      <c r="E401" s="223">
        <f t="shared" si="130"/>
        <v>1284.758</v>
      </c>
      <c r="F401" s="224">
        <f t="shared" si="121"/>
        <v>1284.758</v>
      </c>
      <c r="G401" s="338" t="e">
        <f t="shared" si="122"/>
        <v>#DIV/0!</v>
      </c>
      <c r="H401" s="202"/>
      <c r="I401" s="202"/>
      <c r="J401" s="202">
        <v>1284.758</v>
      </c>
      <c r="K401" s="203">
        <f t="shared" si="123"/>
        <v>1284.758</v>
      </c>
      <c r="L401" s="338" t="e">
        <f t="shared" si="124"/>
        <v>#DIV/0!</v>
      </c>
      <c r="M401" s="208"/>
      <c r="N401" s="208"/>
      <c r="O401" s="208"/>
      <c r="P401" s="337">
        <f t="shared" si="125"/>
        <v>0</v>
      </c>
      <c r="Q401" s="338" t="e">
        <f t="shared" si="126"/>
        <v>#DIV/0!</v>
      </c>
    </row>
    <row r="402" spans="1:17" s="47" customFormat="1" ht="22.5" customHeight="1">
      <c r="A402" s="67" t="s">
        <v>125</v>
      </c>
      <c r="B402" s="56">
        <v>14311300</v>
      </c>
      <c r="C402" s="339">
        <f t="shared" si="130"/>
        <v>0</v>
      </c>
      <c r="D402" s="339">
        <f t="shared" si="130"/>
        <v>0</v>
      </c>
      <c r="E402" s="223">
        <f t="shared" si="130"/>
        <v>1856.602</v>
      </c>
      <c r="F402" s="224">
        <f t="shared" si="121"/>
        <v>1856.602</v>
      </c>
      <c r="G402" s="338" t="e">
        <f t="shared" si="122"/>
        <v>#DIV/0!</v>
      </c>
      <c r="H402" s="202"/>
      <c r="I402" s="202"/>
      <c r="J402" s="202">
        <v>1856.602</v>
      </c>
      <c r="K402" s="203">
        <f t="shared" si="123"/>
        <v>1856.602</v>
      </c>
      <c r="L402" s="338" t="e">
        <f t="shared" si="124"/>
        <v>#DIV/0!</v>
      </c>
      <c r="M402" s="208"/>
      <c r="N402" s="208"/>
      <c r="O402" s="208"/>
      <c r="P402" s="337">
        <f t="shared" si="125"/>
        <v>0</v>
      </c>
      <c r="Q402" s="338" t="e">
        <f t="shared" si="126"/>
        <v>#DIV/0!</v>
      </c>
    </row>
    <row r="403" spans="1:17" s="47" customFormat="1" ht="22.5" customHeight="1">
      <c r="A403" s="67" t="s">
        <v>33</v>
      </c>
      <c r="B403" s="56">
        <v>14311400</v>
      </c>
      <c r="C403" s="339">
        <f t="shared" si="130"/>
        <v>0</v>
      </c>
      <c r="D403" s="339">
        <f t="shared" si="130"/>
        <v>0</v>
      </c>
      <c r="E403" s="223">
        <f t="shared" si="130"/>
        <v>54454.346</v>
      </c>
      <c r="F403" s="224">
        <f t="shared" si="121"/>
        <v>54454.346</v>
      </c>
      <c r="G403" s="338" t="e">
        <f t="shared" si="122"/>
        <v>#DIV/0!</v>
      </c>
      <c r="H403" s="202"/>
      <c r="I403" s="202"/>
      <c r="J403" s="202">
        <v>53886.182</v>
      </c>
      <c r="K403" s="203">
        <f t="shared" si="123"/>
        <v>53886.182</v>
      </c>
      <c r="L403" s="338" t="e">
        <f t="shared" si="124"/>
        <v>#DIV/0!</v>
      </c>
      <c r="M403" s="208"/>
      <c r="N403" s="208"/>
      <c r="O403" s="208">
        <v>568.164</v>
      </c>
      <c r="P403" s="203">
        <f t="shared" si="125"/>
        <v>568.164</v>
      </c>
      <c r="Q403" s="338" t="e">
        <f t="shared" si="126"/>
        <v>#DIV/0!</v>
      </c>
    </row>
    <row r="404" spans="1:17" s="47" customFormat="1" ht="22.5" customHeight="1">
      <c r="A404" s="67" t="s">
        <v>126</v>
      </c>
      <c r="B404" s="56">
        <v>14311500</v>
      </c>
      <c r="C404" s="339">
        <f t="shared" si="130"/>
        <v>0</v>
      </c>
      <c r="D404" s="339">
        <f t="shared" si="130"/>
        <v>0</v>
      </c>
      <c r="E404" s="223">
        <f t="shared" si="130"/>
        <v>17786.963</v>
      </c>
      <c r="F404" s="224">
        <f t="shared" si="121"/>
        <v>17786.963</v>
      </c>
      <c r="G404" s="338" t="e">
        <f t="shared" si="122"/>
        <v>#DIV/0!</v>
      </c>
      <c r="H404" s="202"/>
      <c r="I404" s="202"/>
      <c r="J404" s="202">
        <v>13245.663</v>
      </c>
      <c r="K404" s="203">
        <f t="shared" si="123"/>
        <v>13245.663</v>
      </c>
      <c r="L404" s="338" t="e">
        <f t="shared" si="124"/>
        <v>#DIV/0!</v>
      </c>
      <c r="M404" s="208"/>
      <c r="N404" s="208"/>
      <c r="O404" s="208">
        <v>4541.3</v>
      </c>
      <c r="P404" s="203">
        <f t="shared" si="125"/>
        <v>4541.3</v>
      </c>
      <c r="Q404" s="338" t="e">
        <f t="shared" si="126"/>
        <v>#DIV/0!</v>
      </c>
    </row>
    <row r="405" spans="1:17" s="47" customFormat="1" ht="22.5" customHeight="1" hidden="1">
      <c r="A405" s="67" t="s">
        <v>540</v>
      </c>
      <c r="B405" s="56">
        <v>14311600</v>
      </c>
      <c r="C405" s="223">
        <f t="shared" si="130"/>
        <v>0</v>
      </c>
      <c r="D405" s="223">
        <f t="shared" si="130"/>
        <v>0</v>
      </c>
      <c r="E405" s="223">
        <f t="shared" si="130"/>
        <v>0</v>
      </c>
      <c r="F405" s="224">
        <f t="shared" si="121"/>
        <v>0</v>
      </c>
      <c r="G405" s="151" t="e">
        <f t="shared" si="122"/>
        <v>#DIV/0!</v>
      </c>
      <c r="H405" s="202"/>
      <c r="I405" s="202"/>
      <c r="J405" s="202"/>
      <c r="K405" s="203">
        <f t="shared" si="123"/>
        <v>0</v>
      </c>
      <c r="L405" s="338" t="e">
        <f t="shared" si="124"/>
        <v>#DIV/0!</v>
      </c>
      <c r="M405" s="208"/>
      <c r="N405" s="208"/>
      <c r="O405" s="208"/>
      <c r="P405" s="203">
        <f t="shared" si="125"/>
        <v>0</v>
      </c>
      <c r="Q405" s="151" t="e">
        <f t="shared" si="126"/>
        <v>#DIV/0!</v>
      </c>
    </row>
    <row r="406" spans="1:17" s="44" customFormat="1" ht="22.5" customHeight="1">
      <c r="A406" s="66" t="s">
        <v>518</v>
      </c>
      <c r="B406" s="65">
        <v>144</v>
      </c>
      <c r="C406" s="348">
        <f>C407</f>
        <v>0</v>
      </c>
      <c r="D406" s="227">
        <f>D407</f>
        <v>143162.5</v>
      </c>
      <c r="E406" s="227">
        <f>E407</f>
        <v>1070782.992</v>
      </c>
      <c r="F406" s="226">
        <f t="shared" si="121"/>
        <v>927620.4920000001</v>
      </c>
      <c r="G406" s="342">
        <f t="shared" si="122"/>
        <v>747.9493526586921</v>
      </c>
      <c r="H406" s="344">
        <f>H407</f>
        <v>0</v>
      </c>
      <c r="I406" s="206">
        <f>I407</f>
        <v>30283.6</v>
      </c>
      <c r="J406" s="206">
        <f>J407</f>
        <v>900749.325</v>
      </c>
      <c r="K406" s="205">
        <f t="shared" si="123"/>
        <v>870465.725</v>
      </c>
      <c r="L406" s="342">
        <f t="shared" si="124"/>
        <v>2974.379944920683</v>
      </c>
      <c r="M406" s="344">
        <f>M407</f>
        <v>0</v>
      </c>
      <c r="N406" s="206">
        <f>N407</f>
        <v>112878.90000000001</v>
      </c>
      <c r="O406" s="206">
        <f>O407</f>
        <v>170033.667</v>
      </c>
      <c r="P406" s="205">
        <f t="shared" si="125"/>
        <v>57154.76699999998</v>
      </c>
      <c r="Q406" s="150">
        <f t="shared" si="126"/>
        <v>150.6337030215567</v>
      </c>
    </row>
    <row r="407" spans="1:17" s="44" customFormat="1" ht="22.5" customHeight="1">
      <c r="A407" s="66" t="s">
        <v>518</v>
      </c>
      <c r="B407" s="65">
        <v>1441</v>
      </c>
      <c r="C407" s="348">
        <f>C408+C410</f>
        <v>0</v>
      </c>
      <c r="D407" s="227">
        <f>D408+D410</f>
        <v>143162.5</v>
      </c>
      <c r="E407" s="227">
        <f>E408+E410</f>
        <v>1070782.992</v>
      </c>
      <c r="F407" s="226">
        <f t="shared" si="121"/>
        <v>927620.4920000001</v>
      </c>
      <c r="G407" s="342">
        <f t="shared" si="122"/>
        <v>747.9493526586921</v>
      </c>
      <c r="H407" s="344">
        <f>H408+H410</f>
        <v>0</v>
      </c>
      <c r="I407" s="206">
        <f>I408+I410</f>
        <v>30283.6</v>
      </c>
      <c r="J407" s="206">
        <f>J408+J410</f>
        <v>900749.325</v>
      </c>
      <c r="K407" s="205">
        <f t="shared" si="123"/>
        <v>870465.725</v>
      </c>
      <c r="L407" s="342">
        <f t="shared" si="124"/>
        <v>2974.379944920683</v>
      </c>
      <c r="M407" s="344">
        <f>M408+M410</f>
        <v>0</v>
      </c>
      <c r="N407" s="206">
        <f>N408+N410</f>
        <v>112878.90000000001</v>
      </c>
      <c r="O407" s="206">
        <f>O408+O410</f>
        <v>170033.667</v>
      </c>
      <c r="P407" s="205">
        <f t="shared" si="125"/>
        <v>57154.76699999998</v>
      </c>
      <c r="Q407" s="150">
        <f t="shared" si="126"/>
        <v>150.6337030215567</v>
      </c>
    </row>
    <row r="408" spans="1:17" s="44" customFormat="1" ht="22.5" customHeight="1">
      <c r="A408" s="66" t="s">
        <v>66</v>
      </c>
      <c r="B408" s="65">
        <v>14411</v>
      </c>
      <c r="C408" s="348">
        <f>C409</f>
        <v>0</v>
      </c>
      <c r="D408" s="227">
        <f>D409</f>
        <v>135612.4</v>
      </c>
      <c r="E408" s="227">
        <f>E409</f>
        <v>1056594.469</v>
      </c>
      <c r="F408" s="226">
        <f t="shared" si="121"/>
        <v>920982.069</v>
      </c>
      <c r="G408" s="342">
        <f t="shared" si="122"/>
        <v>779.1282132017427</v>
      </c>
      <c r="H408" s="344">
        <f>H409</f>
        <v>0</v>
      </c>
      <c r="I408" s="206">
        <f>I409</f>
        <v>30283.6</v>
      </c>
      <c r="J408" s="206">
        <f>J409</f>
        <v>890749.325</v>
      </c>
      <c r="K408" s="205">
        <f t="shared" si="123"/>
        <v>860465.725</v>
      </c>
      <c r="L408" s="342">
        <f t="shared" si="124"/>
        <v>2941.3587717444425</v>
      </c>
      <c r="M408" s="344">
        <f>M409</f>
        <v>0</v>
      </c>
      <c r="N408" s="206">
        <f>N409</f>
        <v>105328.8</v>
      </c>
      <c r="O408" s="206">
        <f>O409</f>
        <v>165845.144</v>
      </c>
      <c r="P408" s="205">
        <f t="shared" si="125"/>
        <v>60516.344</v>
      </c>
      <c r="Q408" s="150">
        <f t="shared" si="126"/>
        <v>157.45469805029583</v>
      </c>
    </row>
    <row r="409" spans="1:17" s="54" customFormat="1" ht="22.5" customHeight="1">
      <c r="A409" s="67" t="s">
        <v>283</v>
      </c>
      <c r="B409" s="56">
        <v>14411100</v>
      </c>
      <c r="C409" s="339">
        <f>H409+M409</f>
        <v>0</v>
      </c>
      <c r="D409" s="223">
        <f>I409+N409</f>
        <v>135612.4</v>
      </c>
      <c r="E409" s="223">
        <f>J409+O409</f>
        <v>1056594.469</v>
      </c>
      <c r="F409" s="224">
        <f t="shared" si="121"/>
        <v>920982.069</v>
      </c>
      <c r="G409" s="338">
        <f t="shared" si="122"/>
        <v>779.1282132017427</v>
      </c>
      <c r="H409" s="208"/>
      <c r="I409" s="208">
        <v>30283.6</v>
      </c>
      <c r="J409" s="208">
        <v>890749.325</v>
      </c>
      <c r="K409" s="203">
        <f t="shared" si="123"/>
        <v>860465.725</v>
      </c>
      <c r="L409" s="338">
        <f t="shared" si="124"/>
        <v>2941.3587717444425</v>
      </c>
      <c r="M409" s="208"/>
      <c r="N409" s="208">
        <v>105328.8</v>
      </c>
      <c r="O409" s="208">
        <v>165845.144</v>
      </c>
      <c r="P409" s="203">
        <f t="shared" si="125"/>
        <v>60516.344</v>
      </c>
      <c r="Q409" s="151">
        <f t="shared" si="126"/>
        <v>157.45469805029583</v>
      </c>
    </row>
    <row r="410" spans="1:17" s="44" customFormat="1" ht="22.5" customHeight="1">
      <c r="A410" s="66" t="s">
        <v>67</v>
      </c>
      <c r="B410" s="65">
        <v>14412</v>
      </c>
      <c r="C410" s="348">
        <f>C411</f>
        <v>0</v>
      </c>
      <c r="D410" s="227">
        <f>D411</f>
        <v>7550.1</v>
      </c>
      <c r="E410" s="227">
        <f>E411</f>
        <v>14188.523000000001</v>
      </c>
      <c r="F410" s="226">
        <f t="shared" si="121"/>
        <v>6638.423000000001</v>
      </c>
      <c r="G410" s="150">
        <f t="shared" si="122"/>
        <v>187.92496788122014</v>
      </c>
      <c r="H410" s="344">
        <f>H411</f>
        <v>0</v>
      </c>
      <c r="I410" s="344">
        <f>I411</f>
        <v>0</v>
      </c>
      <c r="J410" s="206">
        <f>J411</f>
        <v>10000</v>
      </c>
      <c r="K410" s="205">
        <f t="shared" si="123"/>
        <v>10000</v>
      </c>
      <c r="L410" s="342" t="e">
        <f t="shared" si="124"/>
        <v>#DIV/0!</v>
      </c>
      <c r="M410" s="344">
        <f>M411</f>
        <v>0</v>
      </c>
      <c r="N410" s="206">
        <f>N411</f>
        <v>7550.1</v>
      </c>
      <c r="O410" s="206">
        <f>O411</f>
        <v>4188.523</v>
      </c>
      <c r="P410" s="205">
        <f t="shared" si="125"/>
        <v>-3361.577</v>
      </c>
      <c r="Q410" s="150">
        <f t="shared" si="126"/>
        <v>55.47639104117826</v>
      </c>
    </row>
    <row r="411" spans="1:17" s="54" customFormat="1" ht="22.5" customHeight="1">
      <c r="A411" s="67" t="s">
        <v>284</v>
      </c>
      <c r="B411" s="56">
        <v>14412100</v>
      </c>
      <c r="C411" s="339">
        <f>H411+M411</f>
        <v>0</v>
      </c>
      <c r="D411" s="223">
        <f>I411+N411</f>
        <v>7550.1</v>
      </c>
      <c r="E411" s="223">
        <f>J411+O411</f>
        <v>14188.523000000001</v>
      </c>
      <c r="F411" s="224">
        <f t="shared" si="121"/>
        <v>6638.423000000001</v>
      </c>
      <c r="G411" s="151">
        <f t="shared" si="122"/>
        <v>187.92496788122014</v>
      </c>
      <c r="H411" s="208"/>
      <c r="I411" s="208"/>
      <c r="J411" s="208">
        <v>10000</v>
      </c>
      <c r="K411" s="203">
        <f t="shared" si="123"/>
        <v>10000</v>
      </c>
      <c r="L411" s="338" t="e">
        <f t="shared" si="124"/>
        <v>#DIV/0!</v>
      </c>
      <c r="M411" s="208"/>
      <c r="N411" s="208">
        <v>7550.1</v>
      </c>
      <c r="O411" s="208">
        <v>4188.523</v>
      </c>
      <c r="P411" s="203">
        <f t="shared" si="125"/>
        <v>-3361.577</v>
      </c>
      <c r="Q411" s="151">
        <f t="shared" si="126"/>
        <v>55.47639104117826</v>
      </c>
    </row>
    <row r="412" spans="1:17" s="44" customFormat="1" ht="22.5" customHeight="1">
      <c r="A412" s="66" t="s">
        <v>127</v>
      </c>
      <c r="B412" s="65">
        <v>145</v>
      </c>
      <c r="C412" s="227">
        <f aca="true" t="shared" si="131" ref="C412:E413">C413</f>
        <v>3144418.5</v>
      </c>
      <c r="D412" s="227">
        <f t="shared" si="131"/>
        <v>8360454.2</v>
      </c>
      <c r="E412" s="227">
        <f t="shared" si="131"/>
        <v>7666303.376999999</v>
      </c>
      <c r="F412" s="226">
        <f t="shared" si="121"/>
        <v>-694150.8230000008</v>
      </c>
      <c r="G412" s="150">
        <f t="shared" si="122"/>
        <v>91.69721158211715</v>
      </c>
      <c r="H412" s="206">
        <f aca="true" t="shared" si="132" ref="H412:J413">H413</f>
        <v>3098314.5</v>
      </c>
      <c r="I412" s="206">
        <f t="shared" si="132"/>
        <v>8291651.899999999</v>
      </c>
      <c r="J412" s="206">
        <f t="shared" si="132"/>
        <v>7542080.507</v>
      </c>
      <c r="K412" s="205">
        <f t="shared" si="123"/>
        <v>-749571.3929999992</v>
      </c>
      <c r="L412" s="150">
        <f t="shared" si="124"/>
        <v>90.95992689948793</v>
      </c>
      <c r="M412" s="206">
        <f aca="true" t="shared" si="133" ref="M412:O413">M413</f>
        <v>46104</v>
      </c>
      <c r="N412" s="206">
        <f t="shared" si="133"/>
        <v>68802.3</v>
      </c>
      <c r="O412" s="206">
        <f t="shared" si="133"/>
        <v>124222.87</v>
      </c>
      <c r="P412" s="205">
        <f t="shared" si="125"/>
        <v>55420.56999999999</v>
      </c>
      <c r="Q412" s="150">
        <f t="shared" si="126"/>
        <v>180.5504612491152</v>
      </c>
    </row>
    <row r="413" spans="1:17" s="45" customFormat="1" ht="22.5" customHeight="1">
      <c r="A413" s="66" t="s">
        <v>127</v>
      </c>
      <c r="B413" s="65">
        <v>1451</v>
      </c>
      <c r="C413" s="227">
        <f t="shared" si="131"/>
        <v>3144418.5</v>
      </c>
      <c r="D413" s="227">
        <f t="shared" si="131"/>
        <v>8360454.2</v>
      </c>
      <c r="E413" s="227">
        <f t="shared" si="131"/>
        <v>7666303.376999999</v>
      </c>
      <c r="F413" s="226">
        <f t="shared" si="121"/>
        <v>-694150.8230000008</v>
      </c>
      <c r="G413" s="150">
        <f t="shared" si="122"/>
        <v>91.69721158211715</v>
      </c>
      <c r="H413" s="206">
        <f t="shared" si="132"/>
        <v>3098314.5</v>
      </c>
      <c r="I413" s="206">
        <f t="shared" si="132"/>
        <v>8291651.899999999</v>
      </c>
      <c r="J413" s="206">
        <f t="shared" si="132"/>
        <v>7542080.507</v>
      </c>
      <c r="K413" s="205">
        <f t="shared" si="123"/>
        <v>-749571.3929999992</v>
      </c>
      <c r="L413" s="150">
        <f t="shared" si="124"/>
        <v>90.95992689948793</v>
      </c>
      <c r="M413" s="206">
        <f t="shared" si="133"/>
        <v>46104</v>
      </c>
      <c r="N413" s="206">
        <f t="shared" si="133"/>
        <v>68802.3</v>
      </c>
      <c r="O413" s="206">
        <f t="shared" si="133"/>
        <v>124222.87</v>
      </c>
      <c r="P413" s="205">
        <f t="shared" si="125"/>
        <v>55420.56999999999</v>
      </c>
      <c r="Q413" s="150">
        <f t="shared" si="126"/>
        <v>180.5504612491152</v>
      </c>
    </row>
    <row r="414" spans="1:17" s="45" customFormat="1" ht="22.5" customHeight="1">
      <c r="A414" s="66" t="s">
        <v>127</v>
      </c>
      <c r="B414" s="65">
        <v>14511</v>
      </c>
      <c r="C414" s="227">
        <f>C415+C416+C417+C418</f>
        <v>3144418.5</v>
      </c>
      <c r="D414" s="227">
        <f>D415+D416+D417+D418</f>
        <v>8360454.2</v>
      </c>
      <c r="E414" s="227">
        <f>E415+E416+E417+E418</f>
        <v>7666303.376999999</v>
      </c>
      <c r="F414" s="226">
        <f t="shared" si="121"/>
        <v>-694150.8230000008</v>
      </c>
      <c r="G414" s="150">
        <f t="shared" si="122"/>
        <v>91.69721158211715</v>
      </c>
      <c r="H414" s="206">
        <f>H415+H416+H417+H418</f>
        <v>3098314.5</v>
      </c>
      <c r="I414" s="206">
        <f>I415+I416+I417+I418</f>
        <v>8291651.899999999</v>
      </c>
      <c r="J414" s="206">
        <f>J415+J416+J417+J418</f>
        <v>7542080.507</v>
      </c>
      <c r="K414" s="205">
        <f t="shared" si="123"/>
        <v>-749571.3929999992</v>
      </c>
      <c r="L414" s="150">
        <f t="shared" si="124"/>
        <v>90.95992689948793</v>
      </c>
      <c r="M414" s="206">
        <f>M415+M416+M417+M418</f>
        <v>46104</v>
      </c>
      <c r="N414" s="206">
        <f>N415+N416+N417+N418</f>
        <v>68802.3</v>
      </c>
      <c r="O414" s="206">
        <f>O415+O416+O417+O418</f>
        <v>124222.87</v>
      </c>
      <c r="P414" s="205">
        <f t="shared" si="125"/>
        <v>55420.56999999999</v>
      </c>
      <c r="Q414" s="150">
        <f t="shared" si="126"/>
        <v>180.5504612491152</v>
      </c>
    </row>
    <row r="415" spans="1:17" s="47" customFormat="1" ht="22.5" customHeight="1">
      <c r="A415" s="67" t="s">
        <v>128</v>
      </c>
      <c r="B415" s="56">
        <v>14511100</v>
      </c>
      <c r="C415" s="339">
        <f aca="true" t="shared" si="134" ref="C415:E418">H415+M415</f>
        <v>0</v>
      </c>
      <c r="D415" s="223">
        <f t="shared" si="134"/>
        <v>5561743.1</v>
      </c>
      <c r="E415" s="223">
        <f t="shared" si="134"/>
        <v>6521164.869</v>
      </c>
      <c r="F415" s="224">
        <f t="shared" si="121"/>
        <v>959421.7690000003</v>
      </c>
      <c r="G415" s="151">
        <f t="shared" si="122"/>
        <v>117.2503790942807</v>
      </c>
      <c r="H415" s="208"/>
      <c r="I415" s="208">
        <v>5561743.1</v>
      </c>
      <c r="J415" s="208">
        <v>6473451.51</v>
      </c>
      <c r="K415" s="203">
        <f t="shared" si="123"/>
        <v>911708.4100000001</v>
      </c>
      <c r="L415" s="151">
        <f t="shared" si="124"/>
        <v>116.39249410854666</v>
      </c>
      <c r="M415" s="208"/>
      <c r="N415" s="208"/>
      <c r="O415" s="208">
        <v>47713.359</v>
      </c>
      <c r="P415" s="203">
        <f t="shared" si="125"/>
        <v>47713.359</v>
      </c>
      <c r="Q415" s="338" t="e">
        <f t="shared" si="126"/>
        <v>#DIV/0!</v>
      </c>
    </row>
    <row r="416" spans="1:17" s="47" customFormat="1" ht="22.5" customHeight="1">
      <c r="A416" s="67" t="s">
        <v>127</v>
      </c>
      <c r="B416" s="56">
        <v>14511200</v>
      </c>
      <c r="C416" s="223">
        <f t="shared" si="134"/>
        <v>2966726.5</v>
      </c>
      <c r="D416" s="223">
        <f t="shared" si="134"/>
        <v>2245969.9</v>
      </c>
      <c r="E416" s="223">
        <f t="shared" si="134"/>
        <v>610478.5260000001</v>
      </c>
      <c r="F416" s="224">
        <f t="shared" si="121"/>
        <v>-1635491.3739999998</v>
      </c>
      <c r="G416" s="151">
        <f t="shared" si="122"/>
        <v>27.181064447925152</v>
      </c>
      <c r="H416" s="208">
        <v>2966726.5</v>
      </c>
      <c r="I416" s="208">
        <v>2245969.9</v>
      </c>
      <c r="J416" s="208">
        <v>605430.234</v>
      </c>
      <c r="K416" s="203">
        <f t="shared" si="123"/>
        <v>-1640539.6659999997</v>
      </c>
      <c r="L416" s="151">
        <f t="shared" si="124"/>
        <v>26.956293314527503</v>
      </c>
      <c r="M416" s="208"/>
      <c r="N416" s="208"/>
      <c r="O416" s="208">
        <v>5048.292</v>
      </c>
      <c r="P416" s="203">
        <f t="shared" si="125"/>
        <v>5048.292</v>
      </c>
      <c r="Q416" s="338" t="e">
        <f t="shared" si="126"/>
        <v>#DIV/0!</v>
      </c>
    </row>
    <row r="417" spans="1:17" s="47" customFormat="1" ht="22.5" customHeight="1">
      <c r="A417" s="67" t="s">
        <v>76</v>
      </c>
      <c r="B417" s="56">
        <v>14511300</v>
      </c>
      <c r="C417" s="339">
        <f t="shared" si="134"/>
        <v>0</v>
      </c>
      <c r="D417" s="223">
        <f t="shared" si="134"/>
        <v>144902.8</v>
      </c>
      <c r="E417" s="223">
        <f t="shared" si="134"/>
        <v>147442.465</v>
      </c>
      <c r="F417" s="224">
        <f t="shared" si="121"/>
        <v>2539.665000000008</v>
      </c>
      <c r="G417" s="151">
        <f t="shared" si="122"/>
        <v>101.75266799537346</v>
      </c>
      <c r="H417" s="208"/>
      <c r="I417" s="208">
        <v>144902.8</v>
      </c>
      <c r="J417" s="208">
        <v>147442.465</v>
      </c>
      <c r="K417" s="203">
        <f t="shared" si="123"/>
        <v>2539.665000000008</v>
      </c>
      <c r="L417" s="151">
        <f t="shared" si="124"/>
        <v>101.75266799537346</v>
      </c>
      <c r="M417" s="208"/>
      <c r="N417" s="208"/>
      <c r="O417" s="208"/>
      <c r="P417" s="337">
        <f t="shared" si="125"/>
        <v>0</v>
      </c>
      <c r="Q417" s="338" t="e">
        <f t="shared" si="126"/>
        <v>#DIV/0!</v>
      </c>
    </row>
    <row r="418" spans="1:17" s="47" customFormat="1" ht="22.5" customHeight="1">
      <c r="A418" s="67" t="s">
        <v>441</v>
      </c>
      <c r="B418" s="56">
        <v>14511400</v>
      </c>
      <c r="C418" s="223">
        <f t="shared" si="134"/>
        <v>177692</v>
      </c>
      <c r="D418" s="223">
        <f t="shared" si="134"/>
        <v>407838.39999999997</v>
      </c>
      <c r="E418" s="223">
        <f t="shared" si="134"/>
        <v>387217.517</v>
      </c>
      <c r="F418" s="224">
        <f t="shared" si="121"/>
        <v>-20620.882999999973</v>
      </c>
      <c r="G418" s="151">
        <f t="shared" si="122"/>
        <v>94.94385938155898</v>
      </c>
      <c r="H418" s="208">
        <v>131588</v>
      </c>
      <c r="I418" s="208">
        <v>339036.1</v>
      </c>
      <c r="J418" s="208">
        <v>315756.298</v>
      </c>
      <c r="K418" s="203">
        <f t="shared" si="123"/>
        <v>-23279.801999999967</v>
      </c>
      <c r="L418" s="151">
        <f t="shared" si="124"/>
        <v>93.13353297775664</v>
      </c>
      <c r="M418" s="208">
        <v>46104</v>
      </c>
      <c r="N418" s="208">
        <v>68802.3</v>
      </c>
      <c r="O418" s="208">
        <v>71461.219</v>
      </c>
      <c r="P418" s="203">
        <f t="shared" si="125"/>
        <v>2658.9189999999944</v>
      </c>
      <c r="Q418" s="151">
        <f t="shared" si="126"/>
        <v>103.86457865507401</v>
      </c>
    </row>
    <row r="419" spans="1:17" s="72" customFormat="1" ht="22.5" customHeight="1">
      <c r="A419" s="74" t="s">
        <v>129</v>
      </c>
      <c r="B419" s="74"/>
      <c r="C419" s="226">
        <f>C10</f>
        <v>140932490.6</v>
      </c>
      <c r="D419" s="226">
        <f>D10</f>
        <v>154769200.29999998</v>
      </c>
      <c r="E419" s="226">
        <f>E10</f>
        <v>149502041.218</v>
      </c>
      <c r="F419" s="226">
        <f t="shared" si="121"/>
        <v>-5267159.081999987</v>
      </c>
      <c r="G419" s="150">
        <f t="shared" si="122"/>
        <v>96.59676533070515</v>
      </c>
      <c r="H419" s="205">
        <f>H10</f>
        <v>126828552.6</v>
      </c>
      <c r="I419" s="205">
        <f>I10</f>
        <v>139889140.29999998</v>
      </c>
      <c r="J419" s="205">
        <f>J10</f>
        <v>134707341.414</v>
      </c>
      <c r="K419" s="205">
        <f t="shared" si="123"/>
        <v>-5181798.885999978</v>
      </c>
      <c r="L419" s="150">
        <f t="shared" si="124"/>
        <v>96.29578187778742</v>
      </c>
      <c r="M419" s="205">
        <f>M10</f>
        <v>19372099</v>
      </c>
      <c r="N419" s="205">
        <f>N10</f>
        <v>20345681.799999997</v>
      </c>
      <c r="O419" s="205">
        <f>O10</f>
        <v>20251186.974999998</v>
      </c>
      <c r="P419" s="205">
        <f t="shared" si="125"/>
        <v>-94494.82499999925</v>
      </c>
      <c r="Q419" s="150">
        <f t="shared" si="126"/>
        <v>99.53555341163353</v>
      </c>
    </row>
  </sheetData>
  <sheetProtection/>
  <mergeCells count="7">
    <mergeCell ref="A8:A9"/>
    <mergeCell ref="A6:Q6"/>
    <mergeCell ref="A5:Q5"/>
    <mergeCell ref="M8:Q8"/>
    <mergeCell ref="B8:B9"/>
    <mergeCell ref="C8:G8"/>
    <mergeCell ref="H8:L8"/>
  </mergeCells>
  <printOptions/>
  <pageMargins left="0.1968503937007874" right="0.11811023622047245" top="1.1811023622047245" bottom="0.5905511811023623" header="0.1968503937007874" footer="0.1968503937007874"/>
  <pageSetup firstPageNumber="68" useFirstPageNumber="1" horizontalDpi="600" verticalDpi="600" orientation="landscape" paperSize="9" scale="70" r:id="rId1"/>
  <headerFooter alignWithMargins="0">
    <oddFooter>&amp;R&amp;12&amp;P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61"/>
  <sheetViews>
    <sheetView zoomScalePageLayoutView="0" workbookViewId="0" topLeftCell="A1">
      <pane xSplit="2" ySplit="3" topLeftCell="C38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418" sqref="J418"/>
    </sheetView>
  </sheetViews>
  <sheetFormatPr defaultColWidth="9.00390625" defaultRowHeight="12.75"/>
  <cols>
    <col min="1" max="1" width="55.75390625" style="5" customWidth="1"/>
    <col min="2" max="2" width="7.875" style="43" customWidth="1"/>
    <col min="3" max="4" width="11.00390625" style="237" customWidth="1"/>
    <col min="5" max="5" width="11.00390625" style="239" customWidth="1"/>
    <col min="6" max="6" width="10.00390625" style="239" customWidth="1"/>
    <col min="7" max="7" width="6.125" style="31" customWidth="1"/>
    <col min="8" max="10" width="11.00390625" style="212" customWidth="1"/>
    <col min="11" max="11" width="10.125" style="212" customWidth="1"/>
    <col min="12" max="12" width="6.125" style="32" customWidth="1"/>
    <col min="13" max="15" width="11.00390625" style="239" customWidth="1"/>
    <col min="16" max="16" width="9.625" style="239" customWidth="1"/>
    <col min="17" max="17" width="6.125" style="30" customWidth="1"/>
    <col min="18" max="18" width="6.875" style="4" customWidth="1"/>
    <col min="19" max="19" width="9.125" style="4" customWidth="1"/>
    <col min="20" max="20" width="8.875" style="4" customWidth="1"/>
    <col min="21" max="21" width="5.625" style="5" customWidth="1"/>
    <col min="22" max="16384" width="9.125" style="5" customWidth="1"/>
  </cols>
  <sheetData>
    <row r="1" spans="1:17" s="3" customFormat="1" ht="18.75" customHeight="1" thickBot="1">
      <c r="A1" s="172" t="s">
        <v>567</v>
      </c>
      <c r="B1" s="172"/>
      <c r="C1" s="244"/>
      <c r="D1" s="230"/>
      <c r="E1" s="230"/>
      <c r="F1" s="230"/>
      <c r="G1" s="171"/>
      <c r="H1" s="230"/>
      <c r="I1" s="230"/>
      <c r="J1" s="230"/>
      <c r="K1" s="230"/>
      <c r="L1" s="171"/>
      <c r="M1" s="230"/>
      <c r="N1" s="230"/>
      <c r="O1" s="230"/>
      <c r="P1" s="230"/>
      <c r="Q1" s="171"/>
    </row>
    <row r="2" spans="1:18" ht="22.5" customHeight="1">
      <c r="A2" s="396" t="s">
        <v>23</v>
      </c>
      <c r="B2" s="396" t="s">
        <v>566</v>
      </c>
      <c r="C2" s="401" t="s">
        <v>35</v>
      </c>
      <c r="D2" s="402"/>
      <c r="E2" s="402"/>
      <c r="F2" s="402"/>
      <c r="G2" s="403"/>
      <c r="H2" s="404" t="s">
        <v>34</v>
      </c>
      <c r="I2" s="405"/>
      <c r="J2" s="405"/>
      <c r="K2" s="405"/>
      <c r="L2" s="406"/>
      <c r="M2" s="398" t="s">
        <v>36</v>
      </c>
      <c r="N2" s="399"/>
      <c r="O2" s="399"/>
      <c r="P2" s="399"/>
      <c r="Q2" s="400"/>
      <c r="R2" s="136"/>
    </row>
    <row r="3" spans="1:20" s="33" customFormat="1" ht="26.25" customHeight="1" thickBot="1">
      <c r="A3" s="397"/>
      <c r="B3" s="397"/>
      <c r="C3" s="197" t="s">
        <v>559</v>
      </c>
      <c r="D3" s="198" t="s">
        <v>560</v>
      </c>
      <c r="E3" s="199" t="s">
        <v>561</v>
      </c>
      <c r="F3" s="199" t="s">
        <v>562</v>
      </c>
      <c r="G3" s="169" t="s">
        <v>13</v>
      </c>
      <c r="H3" s="197" t="s">
        <v>559</v>
      </c>
      <c r="I3" s="198" t="s">
        <v>560</v>
      </c>
      <c r="J3" s="199" t="s">
        <v>561</v>
      </c>
      <c r="K3" s="199" t="s">
        <v>562</v>
      </c>
      <c r="L3" s="169" t="s">
        <v>13</v>
      </c>
      <c r="M3" s="197" t="s">
        <v>559</v>
      </c>
      <c r="N3" s="198" t="s">
        <v>560</v>
      </c>
      <c r="O3" s="199" t="s">
        <v>561</v>
      </c>
      <c r="P3" s="199" t="s">
        <v>562</v>
      </c>
      <c r="Q3" s="169" t="s">
        <v>13</v>
      </c>
      <c r="R3" s="137"/>
      <c r="S3" s="3"/>
      <c r="T3" s="3"/>
    </row>
    <row r="4" spans="1:17" s="76" customFormat="1" ht="22.5" customHeight="1">
      <c r="A4" s="75" t="s">
        <v>0</v>
      </c>
      <c r="B4" s="79"/>
      <c r="C4" s="231">
        <f>C5+C47</f>
        <v>17004744.1</v>
      </c>
      <c r="D4" s="231">
        <f>D5+D47</f>
        <v>17900389.609000005</v>
      </c>
      <c r="E4" s="231">
        <f>E5+E47</f>
        <v>17067576.727000006</v>
      </c>
      <c r="F4" s="232">
        <f>E4-D4</f>
        <v>-832812.8819999993</v>
      </c>
      <c r="G4" s="82">
        <f>E4/D4*100</f>
        <v>95.3475153323966</v>
      </c>
      <c r="H4" s="231">
        <f>H5+H47</f>
        <v>19480400.200000003</v>
      </c>
      <c r="I4" s="231">
        <f>I5+I47</f>
        <v>19965036.856</v>
      </c>
      <c r="J4" s="231">
        <f>J5+J47</f>
        <v>19352548.683000002</v>
      </c>
      <c r="K4" s="232">
        <f>J4-I4</f>
        <v>-612488.1729999967</v>
      </c>
      <c r="L4" s="82">
        <f>J4/I4*100</f>
        <v>96.93219613157925</v>
      </c>
      <c r="M4" s="231">
        <f>M5+M47</f>
        <v>2792504.9</v>
      </c>
      <c r="N4" s="231">
        <f>N5+N47</f>
        <v>3419750.2529999996</v>
      </c>
      <c r="O4" s="231">
        <f>O5+O47</f>
        <v>3171515.2169999997</v>
      </c>
      <c r="P4" s="232">
        <f>O4-N4</f>
        <v>-248235.03599999985</v>
      </c>
      <c r="Q4" s="82">
        <f>O4/N4*100</f>
        <v>92.74113553227362</v>
      </c>
    </row>
    <row r="5" spans="1:17" s="76" customFormat="1" ht="22.5" customHeight="1">
      <c r="A5" s="75" t="s">
        <v>130</v>
      </c>
      <c r="B5" s="80"/>
      <c r="C5" s="233">
        <f>C6+C7+C8+C9+C10+C11+C12+C13+C14+C15+C16+C17+C18+C19+C20+C21+C22+C23+C24+C25+C26+C27+C28+C29+C30+C31+C32+C33+C34+C35+C36+C37+C38+C39+C40+C41+C42+C43+C44+C45+C46</f>
        <v>16769215.9</v>
      </c>
      <c r="D5" s="233">
        <f>D6+D7+D8+D9+D10+D11+D12+D13+D14+D15+D16+D17+D18+D19+D20+D21+D22+D23+D24+D25+D26+D27+D28+D29+D30+D31+D32+D33+D34+D35+D36+D37+D38+D39+D40+D41+D42+D43+D44+D45+D46</f>
        <v>17087145.264000006</v>
      </c>
      <c r="E5" s="233">
        <f>E6+E7+E8+E9+E10+E11+E12+E13+E14+E15+E16+E17+E18+E19+E20+E21+E22+E23+E24+E25+E26+E27+E28+E29+E30+E31+E32+E33+E34+E35+E36+E37+E38+E39+E40+E41+E42+E43+E44+E45+E46</f>
        <v>16488524.393000007</v>
      </c>
      <c r="F5" s="232">
        <f aca="true" t="shared" si="0" ref="F5:F49">E5-D5</f>
        <v>-598620.8709999993</v>
      </c>
      <c r="G5" s="82">
        <f aca="true" t="shared" si="1" ref="G5:G49">E5/D5*100</f>
        <v>96.49665955458808</v>
      </c>
      <c r="H5" s="233">
        <f>H6+H7+H8+H9+H10+H11+H12+H13+H14+H15+H16+H17+H18+H19+H20+H21+H22+H23+H24+H25+H26+H27+H28+H29+H30+H31+H32+H33+H34+H35+H36+H37+H38+H39+H40+H41+H42+H43+H44+H45+H46</f>
        <v>19271569.1</v>
      </c>
      <c r="I5" s="233">
        <f>I6+I7+I8+I9+I10+I11+I12+I13+I14+I15+I16+I17+I18+I19+I20+I21+I22+I23+I24+I25+I26+I27+I28+I29+I30+I31+I32+I33+I34+I35+I36+I37+I38+I39+I40+I41+I42+I43+I44+I45+I46</f>
        <v>19204635.586</v>
      </c>
      <c r="J5" s="233">
        <f>J6+J7+J8+J9+J10+J11+J12+J13+J14+J15+J16+J17+J18+J19+J20+J21+J22+J23+J24+J25+J26+J27+J28+J29+J30+J31+J32+J33+J34+J35+J36+J37+J38+J39+J40+J41+J42+J43+J44+J45+J46</f>
        <v>18814258.973</v>
      </c>
      <c r="K5" s="232">
        <f aca="true" t="shared" si="2" ref="K5:K49">J5-I5</f>
        <v>-390376.61299999803</v>
      </c>
      <c r="L5" s="82">
        <f aca="true" t="shared" si="3" ref="L5:L49">J5/I5*100</f>
        <v>97.96727924749284</v>
      </c>
      <c r="M5" s="233">
        <f>M6+M7+M8+M9+M10+M11+M12+M13+M14+M15+M16+M17+M18+M19+M20+M21+M22+M23+M24+M25+M26+M27+M28+M29+M30+M31+M32+M33+M34+M35+M36+M37+M38+M39+M40+M41+M42+M43+M44+M45+M46</f>
        <v>2765807.8</v>
      </c>
      <c r="N5" s="233">
        <f>N6+N7+N8+N9+N10+N11+N12+N13+N14+N15+N16+N17+N18+N19+N20+N21+N22+N23+N24+N25+N26+N27+N28+N29+N30+N31+N32+N33+N34+N35+N36+N37+N38+N39+N40+N41+N42+N43+N44+N45+N46</f>
        <v>3366907.1779999994</v>
      </c>
      <c r="O5" s="233">
        <f>O6+O7+O8+O9+O10+O11+O12+O13+O14+O15+O16+O17+O18+O19+O20+O21+O22+O23+O24+O25+O26+O27+O28+O29+O30+O31+O32+O33+O34+O35+O36+O37+O38+O39+O40+O41+O42+O43+O44+O45+O46</f>
        <v>3130752.593</v>
      </c>
      <c r="P5" s="232">
        <f aca="true" t="shared" si="4" ref="P5:P49">O5-N5</f>
        <v>-236154.5849999995</v>
      </c>
      <c r="Q5" s="82">
        <f aca="true" t="shared" si="5" ref="Q5:Q49">O5/N5*100</f>
        <v>92.98600844884952</v>
      </c>
    </row>
    <row r="6" spans="1:17" s="78" customFormat="1" ht="22.5" customHeight="1">
      <c r="A6" s="77" t="s">
        <v>132</v>
      </c>
      <c r="B6" s="81" t="s">
        <v>131</v>
      </c>
      <c r="C6" s="234">
        <f>H6+M6</f>
        <v>5847080.5</v>
      </c>
      <c r="D6" s="234">
        <f>I6+N6</f>
        <v>6573255.768</v>
      </c>
      <c r="E6" s="234">
        <f>J6+O6</f>
        <v>6415542.526000001</v>
      </c>
      <c r="F6" s="235">
        <f t="shared" si="0"/>
        <v>-157713.24199999962</v>
      </c>
      <c r="G6" s="133">
        <f t="shared" si="1"/>
        <v>97.60068301666</v>
      </c>
      <c r="H6" s="236">
        <v>4336232.9</v>
      </c>
      <c r="I6" s="236">
        <v>4737602.124</v>
      </c>
      <c r="J6" s="236">
        <v>4605644.195</v>
      </c>
      <c r="K6" s="235">
        <f t="shared" si="2"/>
        <v>-131957.92899999954</v>
      </c>
      <c r="L6" s="133">
        <f t="shared" si="3"/>
        <v>97.21466840088745</v>
      </c>
      <c r="M6" s="234">
        <v>1510847.6</v>
      </c>
      <c r="N6" s="234">
        <v>1835653.644</v>
      </c>
      <c r="O6" s="234">
        <v>1809898.331</v>
      </c>
      <c r="P6" s="235">
        <f t="shared" si="4"/>
        <v>-25755.313000000082</v>
      </c>
      <c r="Q6" s="133">
        <f t="shared" si="5"/>
        <v>98.59694049124226</v>
      </c>
    </row>
    <row r="7" spans="1:17" s="78" customFormat="1" ht="22.5" customHeight="1">
      <c r="A7" s="77" t="s">
        <v>134</v>
      </c>
      <c r="B7" s="81" t="s">
        <v>133</v>
      </c>
      <c r="C7" s="234">
        <f aca="true" t="shared" si="6" ref="C7:D45">H7+M7</f>
        <v>850201.6000000001</v>
      </c>
      <c r="D7" s="234">
        <f t="shared" si="6"/>
        <v>972551.78</v>
      </c>
      <c r="E7" s="234">
        <f aca="true" t="shared" si="7" ref="E7:E45">J7+O7</f>
        <v>951030.017</v>
      </c>
      <c r="F7" s="235">
        <f t="shared" si="0"/>
        <v>-21521.763000000035</v>
      </c>
      <c r="G7" s="133">
        <f t="shared" si="1"/>
        <v>97.78708306924285</v>
      </c>
      <c r="H7" s="236">
        <v>623696.8</v>
      </c>
      <c r="I7" s="236">
        <v>692093.397</v>
      </c>
      <c r="J7" s="236">
        <v>677203.16</v>
      </c>
      <c r="K7" s="235">
        <f t="shared" si="2"/>
        <v>-14890.236999999965</v>
      </c>
      <c r="L7" s="133">
        <f t="shared" si="3"/>
        <v>97.84852202541676</v>
      </c>
      <c r="M7" s="234">
        <v>226504.8</v>
      </c>
      <c r="N7" s="234">
        <v>280458.383</v>
      </c>
      <c r="O7" s="234">
        <v>273826.857</v>
      </c>
      <c r="P7" s="235">
        <f t="shared" si="4"/>
        <v>-6631.525999999954</v>
      </c>
      <c r="Q7" s="133">
        <f t="shared" si="5"/>
        <v>97.63546878896469</v>
      </c>
    </row>
    <row r="8" spans="1:17" s="78" customFormat="1" ht="22.5" customHeight="1">
      <c r="A8" s="77" t="s">
        <v>136</v>
      </c>
      <c r="B8" s="81" t="s">
        <v>135</v>
      </c>
      <c r="C8" s="234">
        <f t="shared" si="6"/>
        <v>284478.7</v>
      </c>
      <c r="D8" s="234">
        <f t="shared" si="6"/>
        <v>337757.108</v>
      </c>
      <c r="E8" s="234">
        <f t="shared" si="7"/>
        <v>316475.051</v>
      </c>
      <c r="F8" s="235">
        <f t="shared" si="0"/>
        <v>-21282.05700000003</v>
      </c>
      <c r="G8" s="133">
        <f t="shared" si="1"/>
        <v>93.69900544032369</v>
      </c>
      <c r="H8" s="236">
        <v>200840.5</v>
      </c>
      <c r="I8" s="236">
        <v>243829.815</v>
      </c>
      <c r="J8" s="236">
        <v>231352.261</v>
      </c>
      <c r="K8" s="235">
        <f t="shared" si="2"/>
        <v>-12477.554000000004</v>
      </c>
      <c r="L8" s="133">
        <f t="shared" si="3"/>
        <v>94.88267913421498</v>
      </c>
      <c r="M8" s="234">
        <v>83638.2</v>
      </c>
      <c r="N8" s="234">
        <v>93927.293</v>
      </c>
      <c r="O8" s="234">
        <v>85122.79</v>
      </c>
      <c r="P8" s="235">
        <f t="shared" si="4"/>
        <v>-8804.503000000012</v>
      </c>
      <c r="Q8" s="133">
        <f t="shared" si="5"/>
        <v>90.62625705608272</v>
      </c>
    </row>
    <row r="9" spans="1:17" s="78" customFormat="1" ht="22.5" customHeight="1">
      <c r="A9" s="77" t="s">
        <v>443</v>
      </c>
      <c r="B9" s="81" t="s">
        <v>137</v>
      </c>
      <c r="C9" s="234">
        <f t="shared" si="6"/>
        <v>163081.2</v>
      </c>
      <c r="D9" s="234">
        <f t="shared" si="6"/>
        <v>161038.611</v>
      </c>
      <c r="E9" s="234">
        <f t="shared" si="7"/>
        <v>146740.804</v>
      </c>
      <c r="F9" s="235">
        <f t="shared" si="0"/>
        <v>-14297.807</v>
      </c>
      <c r="G9" s="133">
        <f t="shared" si="1"/>
        <v>91.12150377402348</v>
      </c>
      <c r="H9" s="234">
        <v>131376</v>
      </c>
      <c r="I9" s="234">
        <v>129822.208</v>
      </c>
      <c r="J9" s="234">
        <v>119859.406</v>
      </c>
      <c r="K9" s="235">
        <f t="shared" si="2"/>
        <v>-9962.801999999996</v>
      </c>
      <c r="L9" s="133">
        <f t="shared" si="3"/>
        <v>92.32581069642569</v>
      </c>
      <c r="M9" s="234">
        <v>31705.2</v>
      </c>
      <c r="N9" s="234">
        <v>31216.403</v>
      </c>
      <c r="O9" s="234">
        <v>26881.398</v>
      </c>
      <c r="P9" s="235">
        <f t="shared" si="4"/>
        <v>-4335.004999999997</v>
      </c>
      <c r="Q9" s="133">
        <f t="shared" si="5"/>
        <v>86.11305408890321</v>
      </c>
    </row>
    <row r="10" spans="1:17" s="78" customFormat="1" ht="22.5" customHeight="1">
      <c r="A10" s="77" t="s">
        <v>9</v>
      </c>
      <c r="B10" s="81" t="s">
        <v>138</v>
      </c>
      <c r="C10" s="234">
        <f aca="true" t="shared" si="8" ref="C10:D15">H10+M10</f>
        <v>262378.8</v>
      </c>
      <c r="D10" s="234">
        <f t="shared" si="8"/>
        <v>268843.2</v>
      </c>
      <c r="E10" s="234">
        <f aca="true" t="shared" si="9" ref="E10:E15">J10+O10</f>
        <v>265803.602</v>
      </c>
      <c r="F10" s="235">
        <f t="shared" si="0"/>
        <v>-3039.597999999998</v>
      </c>
      <c r="G10" s="133">
        <f t="shared" si="1"/>
        <v>98.86937887958483</v>
      </c>
      <c r="H10" s="236">
        <v>261039.2</v>
      </c>
      <c r="I10" s="236">
        <v>266980.5</v>
      </c>
      <c r="J10" s="236">
        <v>264087.776</v>
      </c>
      <c r="K10" s="235">
        <f t="shared" si="2"/>
        <v>-2892.7239999999874</v>
      </c>
      <c r="L10" s="133">
        <f t="shared" si="3"/>
        <v>98.91650363977894</v>
      </c>
      <c r="M10" s="234">
        <v>1339.6</v>
      </c>
      <c r="N10" s="234">
        <v>1862.7</v>
      </c>
      <c r="O10" s="234">
        <v>1715.826</v>
      </c>
      <c r="P10" s="235">
        <f t="shared" si="4"/>
        <v>-146.87400000000002</v>
      </c>
      <c r="Q10" s="133">
        <f t="shared" si="5"/>
        <v>92.11499436302142</v>
      </c>
    </row>
    <row r="11" spans="1:17" s="78" customFormat="1" ht="22.5" customHeight="1">
      <c r="A11" s="77" t="s">
        <v>140</v>
      </c>
      <c r="B11" s="81" t="s">
        <v>139</v>
      </c>
      <c r="C11" s="234">
        <f t="shared" si="8"/>
        <v>268641.4</v>
      </c>
      <c r="D11" s="234">
        <f t="shared" si="8"/>
        <v>257490.45899999997</v>
      </c>
      <c r="E11" s="234">
        <f t="shared" si="9"/>
        <v>241154.898</v>
      </c>
      <c r="F11" s="235">
        <f t="shared" si="0"/>
        <v>-16335.560999999987</v>
      </c>
      <c r="G11" s="133">
        <f t="shared" si="1"/>
        <v>93.6558577496652</v>
      </c>
      <c r="H11" s="236">
        <v>169079.3</v>
      </c>
      <c r="I11" s="236">
        <v>152634.887</v>
      </c>
      <c r="J11" s="236">
        <v>143954.398</v>
      </c>
      <c r="K11" s="235">
        <f t="shared" si="2"/>
        <v>-8680.489000000001</v>
      </c>
      <c r="L11" s="133">
        <f t="shared" si="3"/>
        <v>94.31290632789606</v>
      </c>
      <c r="M11" s="234">
        <v>99562.1</v>
      </c>
      <c r="N11" s="234">
        <v>104855.572</v>
      </c>
      <c r="O11" s="234">
        <v>97200.5</v>
      </c>
      <c r="P11" s="235">
        <f t="shared" si="4"/>
        <v>-7655.072</v>
      </c>
      <c r="Q11" s="133">
        <f t="shared" si="5"/>
        <v>92.69941324625076</v>
      </c>
    </row>
    <row r="12" spans="1:17" s="78" customFormat="1" ht="22.5" customHeight="1">
      <c r="A12" s="77" t="s">
        <v>444</v>
      </c>
      <c r="B12" s="81" t="s">
        <v>141</v>
      </c>
      <c r="C12" s="234">
        <f t="shared" si="8"/>
        <v>1409664</v>
      </c>
      <c r="D12" s="234">
        <f t="shared" si="8"/>
        <v>990076.623</v>
      </c>
      <c r="E12" s="234">
        <f t="shared" si="9"/>
        <v>821038.311</v>
      </c>
      <c r="F12" s="235">
        <f t="shared" si="0"/>
        <v>-169038.31200000003</v>
      </c>
      <c r="G12" s="133">
        <f t="shared" si="1"/>
        <v>82.92674444854558</v>
      </c>
      <c r="H12" s="234">
        <v>1063884.4</v>
      </c>
      <c r="I12" s="234">
        <v>486494.101</v>
      </c>
      <c r="J12" s="240">
        <v>415621.374</v>
      </c>
      <c r="K12" s="235">
        <f t="shared" si="2"/>
        <v>-70872.72700000001</v>
      </c>
      <c r="L12" s="133">
        <f t="shared" si="3"/>
        <v>85.43194524778009</v>
      </c>
      <c r="M12" s="234">
        <v>345779.6</v>
      </c>
      <c r="N12" s="234">
        <v>503582.522</v>
      </c>
      <c r="O12" s="234">
        <v>405416.937</v>
      </c>
      <c r="P12" s="235">
        <f t="shared" si="4"/>
        <v>-98165.58500000002</v>
      </c>
      <c r="Q12" s="133">
        <f t="shared" si="5"/>
        <v>80.50655439546807</v>
      </c>
    </row>
    <row r="13" spans="1:17" s="78" customFormat="1" ht="22.5" customHeight="1" hidden="1">
      <c r="A13" s="77" t="s">
        <v>290</v>
      </c>
      <c r="B13" s="81" t="s">
        <v>285</v>
      </c>
      <c r="C13" s="234">
        <f t="shared" si="8"/>
        <v>0</v>
      </c>
      <c r="D13" s="234">
        <f t="shared" si="8"/>
        <v>0</v>
      </c>
      <c r="E13" s="234">
        <f t="shared" si="9"/>
        <v>0</v>
      </c>
      <c r="F13" s="235">
        <f t="shared" si="0"/>
        <v>0</v>
      </c>
      <c r="G13" s="133" t="e">
        <f t="shared" si="1"/>
        <v>#DIV/0!</v>
      </c>
      <c r="H13" s="236"/>
      <c r="I13" s="236"/>
      <c r="J13" s="236"/>
      <c r="K13" s="235">
        <f t="shared" si="2"/>
        <v>0</v>
      </c>
      <c r="L13" s="133" t="e">
        <f t="shared" si="3"/>
        <v>#DIV/0!</v>
      </c>
      <c r="M13" s="234"/>
      <c r="N13" s="234"/>
      <c r="O13" s="234"/>
      <c r="P13" s="235">
        <f t="shared" si="4"/>
        <v>0</v>
      </c>
      <c r="Q13" s="133" t="e">
        <f t="shared" si="5"/>
        <v>#DIV/0!</v>
      </c>
    </row>
    <row r="14" spans="1:17" s="78" customFormat="1" ht="22.5" customHeight="1">
      <c r="A14" s="77" t="s">
        <v>519</v>
      </c>
      <c r="B14" s="81" t="s">
        <v>286</v>
      </c>
      <c r="C14" s="234">
        <f t="shared" si="8"/>
        <v>296.9</v>
      </c>
      <c r="D14" s="234">
        <f t="shared" si="8"/>
        <v>553.7</v>
      </c>
      <c r="E14" s="234">
        <f t="shared" si="9"/>
        <v>551.49</v>
      </c>
      <c r="F14" s="235">
        <f t="shared" si="0"/>
        <v>-2.2100000000000364</v>
      </c>
      <c r="G14" s="133">
        <f t="shared" si="1"/>
        <v>99.60086689543073</v>
      </c>
      <c r="H14" s="236">
        <v>203.6</v>
      </c>
      <c r="I14" s="236">
        <v>521.6</v>
      </c>
      <c r="J14" s="236">
        <v>521.57</v>
      </c>
      <c r="K14" s="360">
        <f t="shared" si="2"/>
        <v>-0.029999999999972715</v>
      </c>
      <c r="L14" s="133">
        <f t="shared" si="3"/>
        <v>99.99424846625767</v>
      </c>
      <c r="M14" s="234">
        <v>93.3</v>
      </c>
      <c r="N14" s="234">
        <v>32.1</v>
      </c>
      <c r="O14" s="234">
        <v>29.92</v>
      </c>
      <c r="P14" s="235">
        <f t="shared" si="4"/>
        <v>-2.1799999999999997</v>
      </c>
      <c r="Q14" s="133">
        <f t="shared" si="5"/>
        <v>93.20872274143302</v>
      </c>
    </row>
    <row r="15" spans="1:17" s="78" customFormat="1" ht="22.5" customHeight="1">
      <c r="A15" s="77" t="s">
        <v>169</v>
      </c>
      <c r="B15" s="81" t="s">
        <v>287</v>
      </c>
      <c r="C15" s="234">
        <f t="shared" si="8"/>
        <v>10768.9</v>
      </c>
      <c r="D15" s="234">
        <f t="shared" si="8"/>
        <v>13856</v>
      </c>
      <c r="E15" s="234">
        <f t="shared" si="9"/>
        <v>11606.027</v>
      </c>
      <c r="F15" s="235">
        <f t="shared" si="0"/>
        <v>-2249.973</v>
      </c>
      <c r="G15" s="133">
        <f t="shared" si="1"/>
        <v>83.76174220554272</v>
      </c>
      <c r="H15" s="236">
        <v>9971.6</v>
      </c>
      <c r="I15" s="236">
        <v>11850.7</v>
      </c>
      <c r="J15" s="236">
        <v>10080.127</v>
      </c>
      <c r="K15" s="235">
        <f t="shared" si="2"/>
        <v>-1770.5730000000003</v>
      </c>
      <c r="L15" s="133">
        <f t="shared" si="3"/>
        <v>85.05933826693781</v>
      </c>
      <c r="M15" s="234">
        <v>797.3</v>
      </c>
      <c r="N15" s="234">
        <v>2005.3</v>
      </c>
      <c r="O15" s="234">
        <v>1525.9</v>
      </c>
      <c r="P15" s="235">
        <f t="shared" si="4"/>
        <v>-479.39999999999986</v>
      </c>
      <c r="Q15" s="133">
        <f t="shared" si="5"/>
        <v>76.09335261556876</v>
      </c>
    </row>
    <row r="16" spans="1:17" s="78" customFormat="1" ht="22.5" customHeight="1">
      <c r="A16" s="77" t="s">
        <v>446</v>
      </c>
      <c r="B16" s="81" t="s">
        <v>445</v>
      </c>
      <c r="C16" s="234">
        <f aca="true" t="shared" si="10" ref="C16:D26">H16+M16</f>
        <v>142095.90000000002</v>
      </c>
      <c r="D16" s="234">
        <f t="shared" si="10"/>
        <v>136424.936</v>
      </c>
      <c r="E16" s="234">
        <f aca="true" t="shared" si="11" ref="E16:E26">J16+O16</f>
        <v>110534.019</v>
      </c>
      <c r="F16" s="235">
        <f t="shared" si="0"/>
        <v>-25890.916999999987</v>
      </c>
      <c r="G16" s="133">
        <f t="shared" si="1"/>
        <v>81.02185878980366</v>
      </c>
      <c r="H16" s="236">
        <v>63197.3</v>
      </c>
      <c r="I16" s="236">
        <v>44410.7</v>
      </c>
      <c r="J16" s="236">
        <v>34495.7</v>
      </c>
      <c r="K16" s="235">
        <f t="shared" si="2"/>
        <v>-9915</v>
      </c>
      <c r="L16" s="133">
        <f t="shared" si="3"/>
        <v>77.67429921167647</v>
      </c>
      <c r="M16" s="234">
        <v>78898.6</v>
      </c>
      <c r="N16" s="234">
        <v>92014.236</v>
      </c>
      <c r="O16" s="234">
        <v>76038.319</v>
      </c>
      <c r="P16" s="235">
        <f t="shared" si="4"/>
        <v>-15975.917000000001</v>
      </c>
      <c r="Q16" s="133">
        <f t="shared" si="5"/>
        <v>82.63755947503601</v>
      </c>
    </row>
    <row r="17" spans="1:17" s="78" customFormat="1" ht="22.5" customHeight="1">
      <c r="A17" s="77" t="s">
        <v>448</v>
      </c>
      <c r="B17" s="81" t="s">
        <v>447</v>
      </c>
      <c r="C17" s="234">
        <f t="shared" si="10"/>
        <v>200385.8</v>
      </c>
      <c r="D17" s="234">
        <f t="shared" si="10"/>
        <v>240042.295</v>
      </c>
      <c r="E17" s="234">
        <f t="shared" si="11"/>
        <v>207709.145</v>
      </c>
      <c r="F17" s="235">
        <f t="shared" si="0"/>
        <v>-32333.150000000023</v>
      </c>
      <c r="G17" s="133">
        <f t="shared" si="1"/>
        <v>86.53022793337315</v>
      </c>
      <c r="H17" s="236">
        <v>101342.8</v>
      </c>
      <c r="I17" s="236">
        <v>106956.902</v>
      </c>
      <c r="J17" s="236">
        <v>95643.521</v>
      </c>
      <c r="K17" s="235">
        <f t="shared" si="2"/>
        <v>-11313.381000000008</v>
      </c>
      <c r="L17" s="133">
        <f t="shared" si="3"/>
        <v>89.42248626460777</v>
      </c>
      <c r="M17" s="234">
        <v>99043</v>
      </c>
      <c r="N17" s="234">
        <v>133085.393</v>
      </c>
      <c r="O17" s="234">
        <v>112065.624</v>
      </c>
      <c r="P17" s="235">
        <f t="shared" si="4"/>
        <v>-21019.769000000015</v>
      </c>
      <c r="Q17" s="133">
        <f t="shared" si="5"/>
        <v>84.20580311169084</v>
      </c>
    </row>
    <row r="18" spans="1:17" s="78" customFormat="1" ht="22.5" customHeight="1">
      <c r="A18" s="77" t="s">
        <v>170</v>
      </c>
      <c r="B18" s="81" t="s">
        <v>449</v>
      </c>
      <c r="C18" s="234">
        <f t="shared" si="10"/>
        <v>5360.9</v>
      </c>
      <c r="D18" s="234">
        <f t="shared" si="10"/>
        <v>5316.7</v>
      </c>
      <c r="E18" s="234">
        <f t="shared" si="11"/>
        <v>4838.31</v>
      </c>
      <c r="F18" s="235">
        <f t="shared" si="0"/>
        <v>-478.3899999999994</v>
      </c>
      <c r="G18" s="133">
        <f t="shared" si="1"/>
        <v>91.00212537852428</v>
      </c>
      <c r="H18" s="236">
        <v>4950.9</v>
      </c>
      <c r="I18" s="236">
        <v>4710.4</v>
      </c>
      <c r="J18" s="236">
        <v>4623.224</v>
      </c>
      <c r="K18" s="235">
        <f t="shared" si="2"/>
        <v>-87.17599999999948</v>
      </c>
      <c r="L18" s="133">
        <f t="shared" si="3"/>
        <v>98.14928668478262</v>
      </c>
      <c r="M18" s="234">
        <v>410</v>
      </c>
      <c r="N18" s="234">
        <v>606.3</v>
      </c>
      <c r="O18" s="234">
        <v>215.086</v>
      </c>
      <c r="P18" s="235">
        <f t="shared" si="4"/>
        <v>-391.21399999999994</v>
      </c>
      <c r="Q18" s="133">
        <f t="shared" si="5"/>
        <v>35.47517730496455</v>
      </c>
    </row>
    <row r="19" spans="1:17" s="78" customFormat="1" ht="22.5" customHeight="1">
      <c r="A19" s="77" t="s">
        <v>451</v>
      </c>
      <c r="B19" s="81" t="s">
        <v>450</v>
      </c>
      <c r="C19" s="234">
        <f t="shared" si="10"/>
        <v>14897.1</v>
      </c>
      <c r="D19" s="234">
        <f t="shared" si="10"/>
        <v>16693.622</v>
      </c>
      <c r="E19" s="234">
        <f t="shared" si="11"/>
        <v>15098.432</v>
      </c>
      <c r="F19" s="235">
        <f t="shared" si="0"/>
        <v>-1595.1899999999987</v>
      </c>
      <c r="G19" s="133">
        <f t="shared" si="1"/>
        <v>90.44431460110934</v>
      </c>
      <c r="H19" s="236">
        <v>4325.4</v>
      </c>
      <c r="I19" s="236">
        <v>4587.5</v>
      </c>
      <c r="J19" s="236">
        <v>4153.307</v>
      </c>
      <c r="K19" s="235">
        <f t="shared" si="2"/>
        <v>-434.1930000000002</v>
      </c>
      <c r="L19" s="133">
        <f t="shared" si="3"/>
        <v>90.53530245231607</v>
      </c>
      <c r="M19" s="234">
        <v>10571.7</v>
      </c>
      <c r="N19" s="234">
        <v>12106.122</v>
      </c>
      <c r="O19" s="234">
        <v>10945.125</v>
      </c>
      <c r="P19" s="235">
        <f t="shared" si="4"/>
        <v>-1160.9969999999994</v>
      </c>
      <c r="Q19" s="133">
        <f t="shared" si="5"/>
        <v>90.40983561870598</v>
      </c>
    </row>
    <row r="20" spans="1:17" s="78" customFormat="1" ht="22.5" customHeight="1">
      <c r="A20" s="77" t="s">
        <v>453</v>
      </c>
      <c r="B20" s="81" t="s">
        <v>452</v>
      </c>
      <c r="C20" s="234">
        <f t="shared" si="10"/>
        <v>95670.8</v>
      </c>
      <c r="D20" s="234">
        <f t="shared" si="10"/>
        <v>86611.937</v>
      </c>
      <c r="E20" s="234">
        <f t="shared" si="11"/>
        <v>83073.93800000001</v>
      </c>
      <c r="F20" s="235">
        <f t="shared" si="0"/>
        <v>-3537.998999999996</v>
      </c>
      <c r="G20" s="133">
        <f t="shared" si="1"/>
        <v>95.91511387165951</v>
      </c>
      <c r="H20" s="236">
        <v>85352</v>
      </c>
      <c r="I20" s="236">
        <v>76483.937</v>
      </c>
      <c r="J20" s="236">
        <v>73421.27</v>
      </c>
      <c r="K20" s="235">
        <f t="shared" si="2"/>
        <v>-3062.6670000000013</v>
      </c>
      <c r="L20" s="133">
        <f t="shared" si="3"/>
        <v>95.99567292149199</v>
      </c>
      <c r="M20" s="234">
        <v>10318.8</v>
      </c>
      <c r="N20" s="234">
        <v>10128</v>
      </c>
      <c r="O20" s="234">
        <v>9652.668</v>
      </c>
      <c r="P20" s="235">
        <f t="shared" si="4"/>
        <v>-475.33200000000033</v>
      </c>
      <c r="Q20" s="133">
        <f t="shared" si="5"/>
        <v>95.30675355450236</v>
      </c>
    </row>
    <row r="21" spans="1:17" s="78" customFormat="1" ht="22.5" customHeight="1" hidden="1">
      <c r="A21" s="77" t="s">
        <v>455</v>
      </c>
      <c r="B21" s="81" t="s">
        <v>454</v>
      </c>
      <c r="C21" s="234">
        <f t="shared" si="10"/>
        <v>0</v>
      </c>
      <c r="D21" s="234">
        <f t="shared" si="10"/>
        <v>0</v>
      </c>
      <c r="E21" s="234">
        <f t="shared" si="11"/>
        <v>0</v>
      </c>
      <c r="F21" s="235">
        <f t="shared" si="0"/>
        <v>0</v>
      </c>
      <c r="G21" s="133" t="e">
        <f t="shared" si="1"/>
        <v>#DIV/0!</v>
      </c>
      <c r="H21" s="236"/>
      <c r="I21" s="236"/>
      <c r="J21" s="236"/>
      <c r="K21" s="235">
        <f t="shared" si="2"/>
        <v>0</v>
      </c>
      <c r="L21" s="133" t="e">
        <f t="shared" si="3"/>
        <v>#DIV/0!</v>
      </c>
      <c r="M21" s="234"/>
      <c r="N21" s="234"/>
      <c r="O21" s="234"/>
      <c r="P21" s="235">
        <f t="shared" si="4"/>
        <v>0</v>
      </c>
      <c r="Q21" s="133" t="e">
        <f t="shared" si="5"/>
        <v>#DIV/0!</v>
      </c>
    </row>
    <row r="22" spans="1:17" s="78" customFormat="1" ht="22.5" customHeight="1">
      <c r="A22" s="77" t="s">
        <v>543</v>
      </c>
      <c r="B22" s="81" t="s">
        <v>456</v>
      </c>
      <c r="C22" s="234">
        <f t="shared" si="10"/>
        <v>236159.9</v>
      </c>
      <c r="D22" s="234">
        <f t="shared" si="10"/>
        <v>260953.003</v>
      </c>
      <c r="E22" s="234">
        <f t="shared" si="11"/>
        <v>240697.445</v>
      </c>
      <c r="F22" s="235">
        <f t="shared" si="0"/>
        <v>-20255.55799999999</v>
      </c>
      <c r="G22" s="133">
        <f t="shared" si="1"/>
        <v>92.23785211622953</v>
      </c>
      <c r="H22" s="236">
        <v>159856.3</v>
      </c>
      <c r="I22" s="236">
        <v>181033.555</v>
      </c>
      <c r="J22" s="236">
        <v>168259.259</v>
      </c>
      <c r="K22" s="235">
        <f t="shared" si="2"/>
        <v>-12774.296000000002</v>
      </c>
      <c r="L22" s="133">
        <f t="shared" si="3"/>
        <v>92.94368604759488</v>
      </c>
      <c r="M22" s="234">
        <v>76303.6</v>
      </c>
      <c r="N22" s="234">
        <v>79919.448</v>
      </c>
      <c r="O22" s="234">
        <v>72438.186</v>
      </c>
      <c r="P22" s="235">
        <f t="shared" si="4"/>
        <v>-7481.262000000002</v>
      </c>
      <c r="Q22" s="133">
        <f t="shared" si="5"/>
        <v>90.63899690598464</v>
      </c>
    </row>
    <row r="23" spans="1:17" s="78" customFormat="1" ht="22.5" customHeight="1" hidden="1">
      <c r="A23" s="77" t="s">
        <v>167</v>
      </c>
      <c r="B23" s="81" t="s">
        <v>457</v>
      </c>
      <c r="C23" s="234">
        <f t="shared" si="10"/>
        <v>0</v>
      </c>
      <c r="D23" s="234">
        <f t="shared" si="10"/>
        <v>0</v>
      </c>
      <c r="E23" s="234">
        <f t="shared" si="11"/>
        <v>0</v>
      </c>
      <c r="F23" s="235">
        <f t="shared" si="0"/>
        <v>0</v>
      </c>
      <c r="G23" s="133" t="e">
        <f t="shared" si="1"/>
        <v>#DIV/0!</v>
      </c>
      <c r="H23" s="236"/>
      <c r="I23" s="236"/>
      <c r="J23" s="236"/>
      <c r="K23" s="235">
        <f t="shared" si="2"/>
        <v>0</v>
      </c>
      <c r="L23" s="133" t="e">
        <f t="shared" si="3"/>
        <v>#DIV/0!</v>
      </c>
      <c r="M23" s="234"/>
      <c r="N23" s="234"/>
      <c r="O23" s="234"/>
      <c r="P23" s="235">
        <f t="shared" si="4"/>
        <v>0</v>
      </c>
      <c r="Q23" s="133" t="e">
        <f t="shared" si="5"/>
        <v>#DIV/0!</v>
      </c>
    </row>
    <row r="24" spans="1:17" s="78" customFormat="1" ht="22.5" customHeight="1" hidden="1">
      <c r="A24" s="77" t="s">
        <v>168</v>
      </c>
      <c r="B24" s="81" t="s">
        <v>458</v>
      </c>
      <c r="C24" s="234">
        <f t="shared" si="10"/>
        <v>0</v>
      </c>
      <c r="D24" s="234">
        <f t="shared" si="10"/>
        <v>0</v>
      </c>
      <c r="E24" s="234">
        <f t="shared" si="11"/>
        <v>0</v>
      </c>
      <c r="F24" s="235">
        <f t="shared" si="0"/>
        <v>0</v>
      </c>
      <c r="G24" s="133" t="e">
        <f t="shared" si="1"/>
        <v>#DIV/0!</v>
      </c>
      <c r="H24" s="236"/>
      <c r="I24" s="236"/>
      <c r="J24" s="236"/>
      <c r="K24" s="235">
        <f t="shared" si="2"/>
        <v>0</v>
      </c>
      <c r="L24" s="133" t="e">
        <f t="shared" si="3"/>
        <v>#DIV/0!</v>
      </c>
      <c r="M24" s="234"/>
      <c r="N24" s="234"/>
      <c r="O24" s="234"/>
      <c r="P24" s="235">
        <f t="shared" si="4"/>
        <v>0</v>
      </c>
      <c r="Q24" s="133" t="e">
        <f t="shared" si="5"/>
        <v>#DIV/0!</v>
      </c>
    </row>
    <row r="25" spans="1:17" s="78" customFormat="1" ht="22.5" customHeight="1" hidden="1">
      <c r="A25" s="77" t="s">
        <v>24</v>
      </c>
      <c r="B25" s="81" t="s">
        <v>459</v>
      </c>
      <c r="C25" s="234">
        <f t="shared" si="10"/>
        <v>0</v>
      </c>
      <c r="D25" s="234">
        <f t="shared" si="10"/>
        <v>0</v>
      </c>
      <c r="E25" s="234">
        <f t="shared" si="11"/>
        <v>0</v>
      </c>
      <c r="F25" s="235">
        <f t="shared" si="0"/>
        <v>0</v>
      </c>
      <c r="G25" s="133" t="e">
        <f t="shared" si="1"/>
        <v>#DIV/0!</v>
      </c>
      <c r="H25" s="236"/>
      <c r="I25" s="236"/>
      <c r="J25" s="236"/>
      <c r="K25" s="235">
        <f t="shared" si="2"/>
        <v>0</v>
      </c>
      <c r="L25" s="133" t="e">
        <f t="shared" si="3"/>
        <v>#DIV/0!</v>
      </c>
      <c r="M25" s="234"/>
      <c r="N25" s="234"/>
      <c r="O25" s="234"/>
      <c r="P25" s="235">
        <f t="shared" si="4"/>
        <v>0</v>
      </c>
      <c r="Q25" s="133" t="e">
        <f t="shared" si="5"/>
        <v>#DIV/0!</v>
      </c>
    </row>
    <row r="26" spans="1:17" s="78" customFormat="1" ht="22.5" customHeight="1">
      <c r="A26" s="77" t="s">
        <v>461</v>
      </c>
      <c r="B26" s="81" t="s">
        <v>460</v>
      </c>
      <c r="C26" s="234">
        <f t="shared" si="10"/>
        <v>2942.7000000000003</v>
      </c>
      <c r="D26" s="234">
        <f t="shared" si="10"/>
        <v>11642.9</v>
      </c>
      <c r="E26" s="234">
        <f t="shared" si="11"/>
        <v>11621.697</v>
      </c>
      <c r="F26" s="235">
        <f t="shared" si="0"/>
        <v>-21.20299999999952</v>
      </c>
      <c r="G26" s="133">
        <f t="shared" si="1"/>
        <v>99.81788901390547</v>
      </c>
      <c r="H26" s="236">
        <v>2767.3</v>
      </c>
      <c r="I26" s="236">
        <v>11468.1</v>
      </c>
      <c r="J26" s="236">
        <v>11449.797</v>
      </c>
      <c r="K26" s="235">
        <f t="shared" si="2"/>
        <v>-18.302999999999884</v>
      </c>
      <c r="L26" s="133">
        <f t="shared" si="3"/>
        <v>99.840400763858</v>
      </c>
      <c r="M26" s="234">
        <v>175.4</v>
      </c>
      <c r="N26" s="234">
        <v>174.8</v>
      </c>
      <c r="O26" s="234">
        <v>171.9</v>
      </c>
      <c r="P26" s="235">
        <f t="shared" si="4"/>
        <v>-2.9000000000000057</v>
      </c>
      <c r="Q26" s="133">
        <f t="shared" si="5"/>
        <v>98.34096109839817</v>
      </c>
    </row>
    <row r="27" spans="1:17" s="78" customFormat="1" ht="22.5" customHeight="1">
      <c r="A27" s="77" t="s">
        <v>143</v>
      </c>
      <c r="B27" s="81" t="s">
        <v>142</v>
      </c>
      <c r="C27" s="234">
        <f t="shared" si="6"/>
        <v>4090211.9</v>
      </c>
      <c r="D27" s="234">
        <f t="shared" si="6"/>
        <v>3596177.56</v>
      </c>
      <c r="E27" s="234">
        <f t="shared" si="7"/>
        <v>3527725.787</v>
      </c>
      <c r="F27" s="235">
        <f t="shared" si="0"/>
        <v>-68451.77300000004</v>
      </c>
      <c r="G27" s="133">
        <f t="shared" si="1"/>
        <v>98.0965407892707</v>
      </c>
      <c r="H27" s="236">
        <v>4040611.9</v>
      </c>
      <c r="I27" s="236">
        <v>3538177.56</v>
      </c>
      <c r="J27" s="236">
        <v>3469725.787</v>
      </c>
      <c r="K27" s="235">
        <f t="shared" si="2"/>
        <v>-68451.77300000004</v>
      </c>
      <c r="L27" s="133">
        <f t="shared" si="3"/>
        <v>98.06533810586939</v>
      </c>
      <c r="M27" s="234">
        <v>49600</v>
      </c>
      <c r="N27" s="234">
        <v>58000</v>
      </c>
      <c r="O27" s="234">
        <v>58000</v>
      </c>
      <c r="P27" s="351">
        <f t="shared" si="4"/>
        <v>0</v>
      </c>
      <c r="Q27" s="133">
        <f t="shared" si="5"/>
        <v>100</v>
      </c>
    </row>
    <row r="28" spans="1:17" s="78" customFormat="1" ht="22.5" customHeight="1">
      <c r="A28" s="77" t="s">
        <v>145</v>
      </c>
      <c r="B28" s="81" t="s">
        <v>144</v>
      </c>
      <c r="C28" s="234">
        <f t="shared" si="6"/>
        <v>2186674.1</v>
      </c>
      <c r="D28" s="234">
        <f t="shared" si="6"/>
        <v>2397486.7</v>
      </c>
      <c r="E28" s="234">
        <f t="shared" si="7"/>
        <v>2397471.724</v>
      </c>
      <c r="F28" s="235">
        <f t="shared" si="0"/>
        <v>-14.976000000257045</v>
      </c>
      <c r="G28" s="133">
        <f t="shared" si="1"/>
        <v>99.99937534585696</v>
      </c>
      <c r="H28" s="236">
        <v>2186674.1</v>
      </c>
      <c r="I28" s="236">
        <v>2397486.7</v>
      </c>
      <c r="J28" s="236">
        <v>2397471.724</v>
      </c>
      <c r="K28" s="235">
        <f t="shared" si="2"/>
        <v>-14.976000000257045</v>
      </c>
      <c r="L28" s="133">
        <f t="shared" si="3"/>
        <v>99.99937534585696</v>
      </c>
      <c r="M28" s="234"/>
      <c r="N28" s="234"/>
      <c r="O28" s="234"/>
      <c r="P28" s="351">
        <f t="shared" si="4"/>
        <v>0</v>
      </c>
      <c r="Q28" s="352" t="e">
        <f t="shared" si="5"/>
        <v>#DIV/0!</v>
      </c>
    </row>
    <row r="29" spans="1:17" s="78" customFormat="1" ht="22.5" customHeight="1">
      <c r="A29" s="77" t="s">
        <v>289</v>
      </c>
      <c r="B29" s="81" t="s">
        <v>288</v>
      </c>
      <c r="C29" s="234">
        <f t="shared" si="6"/>
        <v>530</v>
      </c>
      <c r="D29" s="234">
        <f t="shared" si="6"/>
        <v>77.9</v>
      </c>
      <c r="E29" s="234">
        <f t="shared" si="7"/>
        <v>2.945</v>
      </c>
      <c r="F29" s="235">
        <f t="shared" si="0"/>
        <v>-74.95500000000001</v>
      </c>
      <c r="G29" s="352">
        <f t="shared" si="1"/>
        <v>3.780487804878048</v>
      </c>
      <c r="H29" s="236">
        <v>530</v>
      </c>
      <c r="I29" s="236">
        <v>77.9</v>
      </c>
      <c r="J29" s="236">
        <v>2.945</v>
      </c>
      <c r="K29" s="235">
        <f t="shared" si="2"/>
        <v>-74.95500000000001</v>
      </c>
      <c r="L29" s="352">
        <f t="shared" si="3"/>
        <v>3.780487804878048</v>
      </c>
      <c r="M29" s="234"/>
      <c r="N29" s="234"/>
      <c r="O29" s="234"/>
      <c r="P29" s="351">
        <f t="shared" si="4"/>
        <v>0</v>
      </c>
      <c r="Q29" s="352" t="e">
        <f t="shared" si="5"/>
        <v>#DIV/0!</v>
      </c>
    </row>
    <row r="30" spans="1:17" s="78" customFormat="1" ht="22.5" customHeight="1" hidden="1">
      <c r="A30" s="77" t="s">
        <v>292</v>
      </c>
      <c r="B30" s="81" t="s">
        <v>291</v>
      </c>
      <c r="C30" s="234">
        <f t="shared" si="6"/>
        <v>0</v>
      </c>
      <c r="D30" s="234">
        <f t="shared" si="6"/>
        <v>0</v>
      </c>
      <c r="E30" s="234">
        <f t="shared" si="7"/>
        <v>0</v>
      </c>
      <c r="F30" s="235">
        <f t="shared" si="0"/>
        <v>0</v>
      </c>
      <c r="G30" s="133" t="e">
        <f t="shared" si="1"/>
        <v>#DIV/0!</v>
      </c>
      <c r="H30" s="236"/>
      <c r="I30" s="236"/>
      <c r="J30" s="236"/>
      <c r="K30" s="235">
        <f t="shared" si="2"/>
        <v>0</v>
      </c>
      <c r="L30" s="133" t="e">
        <f t="shared" si="3"/>
        <v>#DIV/0!</v>
      </c>
      <c r="M30" s="234"/>
      <c r="N30" s="234"/>
      <c r="O30" s="234"/>
      <c r="P30" s="235">
        <f t="shared" si="4"/>
        <v>0</v>
      </c>
      <c r="Q30" s="133" t="e">
        <f t="shared" si="5"/>
        <v>#DIV/0!</v>
      </c>
    </row>
    <row r="31" spans="1:17" s="78" customFormat="1" ht="22.5" customHeight="1">
      <c r="A31" s="77" t="s">
        <v>162</v>
      </c>
      <c r="B31" s="81" t="s">
        <v>161</v>
      </c>
      <c r="C31" s="234">
        <f t="shared" si="6"/>
        <v>0</v>
      </c>
      <c r="D31" s="234">
        <f t="shared" si="6"/>
        <v>587.3</v>
      </c>
      <c r="E31" s="234">
        <f t="shared" si="7"/>
        <v>587.3</v>
      </c>
      <c r="F31" s="351">
        <f t="shared" si="0"/>
        <v>0</v>
      </c>
      <c r="G31" s="133">
        <f t="shared" si="1"/>
        <v>100</v>
      </c>
      <c r="H31" s="236"/>
      <c r="I31" s="236"/>
      <c r="J31" s="236"/>
      <c r="K31" s="351">
        <f t="shared" si="2"/>
        <v>0</v>
      </c>
      <c r="L31" s="352" t="e">
        <f t="shared" si="3"/>
        <v>#DIV/0!</v>
      </c>
      <c r="M31" s="234"/>
      <c r="N31" s="234">
        <v>587.3</v>
      </c>
      <c r="O31" s="234">
        <v>587.3</v>
      </c>
      <c r="P31" s="351">
        <f t="shared" si="4"/>
        <v>0</v>
      </c>
      <c r="Q31" s="133">
        <f t="shared" si="5"/>
        <v>100</v>
      </c>
    </row>
    <row r="32" spans="1:17" s="78" customFormat="1" ht="22.5" customHeight="1">
      <c r="A32" s="77" t="s">
        <v>164</v>
      </c>
      <c r="B32" s="81" t="s">
        <v>163</v>
      </c>
      <c r="C32" s="234">
        <f t="shared" si="6"/>
        <v>4843.6</v>
      </c>
      <c r="D32" s="234">
        <f t="shared" si="6"/>
        <v>6595.6</v>
      </c>
      <c r="E32" s="234">
        <f t="shared" si="7"/>
        <v>5660.653</v>
      </c>
      <c r="F32" s="235">
        <f t="shared" si="0"/>
        <v>-934.9470000000001</v>
      </c>
      <c r="G32" s="133">
        <f t="shared" si="1"/>
        <v>85.82468615440597</v>
      </c>
      <c r="H32" s="236">
        <v>2643.6</v>
      </c>
      <c r="I32" s="236">
        <v>2643.6</v>
      </c>
      <c r="J32" s="236">
        <v>1713.653</v>
      </c>
      <c r="K32" s="235">
        <f t="shared" si="2"/>
        <v>-929.9469999999999</v>
      </c>
      <c r="L32" s="133">
        <f t="shared" si="3"/>
        <v>64.82270388863671</v>
      </c>
      <c r="M32" s="234">
        <v>2200</v>
      </c>
      <c r="N32" s="234">
        <v>3952</v>
      </c>
      <c r="O32" s="234">
        <v>3947</v>
      </c>
      <c r="P32" s="235">
        <f t="shared" si="4"/>
        <v>-5</v>
      </c>
      <c r="Q32" s="133">
        <f t="shared" si="5"/>
        <v>99.87348178137651</v>
      </c>
    </row>
    <row r="33" spans="1:17" s="78" customFormat="1" ht="22.5" customHeight="1" hidden="1">
      <c r="A33" s="77" t="s">
        <v>462</v>
      </c>
      <c r="B33" s="81" t="s">
        <v>165</v>
      </c>
      <c r="C33" s="234">
        <f t="shared" si="6"/>
        <v>0</v>
      </c>
      <c r="D33" s="234">
        <f t="shared" si="6"/>
        <v>0</v>
      </c>
      <c r="E33" s="234">
        <f t="shared" si="7"/>
        <v>0</v>
      </c>
      <c r="F33" s="235">
        <f t="shared" si="0"/>
        <v>0</v>
      </c>
      <c r="G33" s="133" t="e">
        <f t="shared" si="1"/>
        <v>#DIV/0!</v>
      </c>
      <c r="H33" s="236"/>
      <c r="I33" s="236"/>
      <c r="J33" s="236"/>
      <c r="K33" s="235">
        <f t="shared" si="2"/>
        <v>0</v>
      </c>
      <c r="L33" s="133" t="e">
        <f t="shared" si="3"/>
        <v>#DIV/0!</v>
      </c>
      <c r="M33" s="234"/>
      <c r="N33" s="234"/>
      <c r="O33" s="234"/>
      <c r="P33" s="235">
        <f t="shared" si="4"/>
        <v>0</v>
      </c>
      <c r="Q33" s="133" t="e">
        <f t="shared" si="5"/>
        <v>#DIV/0!</v>
      </c>
    </row>
    <row r="34" spans="1:17" s="78" customFormat="1" ht="22.5" customHeight="1">
      <c r="A34" s="77" t="s">
        <v>294</v>
      </c>
      <c r="B34" s="81" t="s">
        <v>293</v>
      </c>
      <c r="C34" s="234">
        <f t="shared" si="6"/>
        <v>0</v>
      </c>
      <c r="D34" s="234">
        <f t="shared" si="6"/>
        <v>460</v>
      </c>
      <c r="E34" s="234">
        <f t="shared" si="7"/>
        <v>460</v>
      </c>
      <c r="F34" s="351">
        <f t="shared" si="0"/>
        <v>0</v>
      </c>
      <c r="G34" s="133">
        <f t="shared" si="1"/>
        <v>100</v>
      </c>
      <c r="H34" s="236"/>
      <c r="I34" s="236"/>
      <c r="J34" s="236"/>
      <c r="K34" s="351">
        <f t="shared" si="2"/>
        <v>0</v>
      </c>
      <c r="L34" s="352" t="e">
        <f t="shared" si="3"/>
        <v>#DIV/0!</v>
      </c>
      <c r="M34" s="234"/>
      <c r="N34" s="234">
        <v>460</v>
      </c>
      <c r="O34" s="234">
        <v>460</v>
      </c>
      <c r="P34" s="351">
        <f t="shared" si="4"/>
        <v>0</v>
      </c>
      <c r="Q34" s="133">
        <f t="shared" si="5"/>
        <v>100</v>
      </c>
    </row>
    <row r="35" spans="1:17" s="78" customFormat="1" ht="22.5" customHeight="1" hidden="1">
      <c r="A35" s="77" t="s">
        <v>147</v>
      </c>
      <c r="B35" s="81" t="s">
        <v>146</v>
      </c>
      <c r="C35" s="234">
        <f t="shared" si="6"/>
        <v>0</v>
      </c>
      <c r="D35" s="234">
        <f t="shared" si="6"/>
        <v>0</v>
      </c>
      <c r="E35" s="234">
        <f t="shared" si="7"/>
        <v>0</v>
      </c>
      <c r="F35" s="235">
        <f t="shared" si="0"/>
        <v>0</v>
      </c>
      <c r="G35" s="133" t="e">
        <f t="shared" si="1"/>
        <v>#DIV/0!</v>
      </c>
      <c r="H35" s="236"/>
      <c r="I35" s="236"/>
      <c r="J35" s="236"/>
      <c r="K35" s="235">
        <f t="shared" si="2"/>
        <v>0</v>
      </c>
      <c r="L35" s="133" t="e">
        <f t="shared" si="3"/>
        <v>#DIV/0!</v>
      </c>
      <c r="M35" s="234"/>
      <c r="N35" s="234"/>
      <c r="O35" s="234"/>
      <c r="P35" s="235">
        <f t="shared" si="4"/>
        <v>0</v>
      </c>
      <c r="Q35" s="133" t="e">
        <f t="shared" si="5"/>
        <v>#DIV/0!</v>
      </c>
    </row>
    <row r="36" spans="1:17" s="78" customFormat="1" ht="22.5" customHeight="1" hidden="1">
      <c r="A36" s="77" t="s">
        <v>296</v>
      </c>
      <c r="B36" s="81" t="s">
        <v>295</v>
      </c>
      <c r="C36" s="234">
        <f t="shared" si="6"/>
        <v>0</v>
      </c>
      <c r="D36" s="234">
        <f t="shared" si="6"/>
        <v>0</v>
      </c>
      <c r="E36" s="234">
        <f t="shared" si="7"/>
        <v>0</v>
      </c>
      <c r="F36" s="235">
        <f t="shared" si="0"/>
        <v>0</v>
      </c>
      <c r="G36" s="133" t="e">
        <f t="shared" si="1"/>
        <v>#DIV/0!</v>
      </c>
      <c r="H36" s="236"/>
      <c r="I36" s="236"/>
      <c r="J36" s="236"/>
      <c r="K36" s="235">
        <f t="shared" si="2"/>
        <v>0</v>
      </c>
      <c r="L36" s="133" t="e">
        <f t="shared" si="3"/>
        <v>#DIV/0!</v>
      </c>
      <c r="M36" s="234"/>
      <c r="N36" s="234"/>
      <c r="O36" s="234"/>
      <c r="P36" s="235">
        <f t="shared" si="4"/>
        <v>0</v>
      </c>
      <c r="Q36" s="133" t="e">
        <f t="shared" si="5"/>
        <v>#DIV/0!</v>
      </c>
    </row>
    <row r="37" spans="1:17" s="78" customFormat="1" ht="22.5" customHeight="1">
      <c r="A37" s="77" t="s">
        <v>149</v>
      </c>
      <c r="B37" s="81" t="s">
        <v>148</v>
      </c>
      <c r="C37" s="234">
        <f t="shared" si="6"/>
        <v>401204.3</v>
      </c>
      <c r="D37" s="234">
        <f t="shared" si="6"/>
        <v>443777.6</v>
      </c>
      <c r="E37" s="234">
        <f t="shared" si="7"/>
        <v>442442.617</v>
      </c>
      <c r="F37" s="235">
        <f t="shared" si="0"/>
        <v>-1334.9829999999492</v>
      </c>
      <c r="G37" s="133">
        <f t="shared" si="1"/>
        <v>99.69917747087732</v>
      </c>
      <c r="H37" s="236">
        <v>401204.3</v>
      </c>
      <c r="I37" s="236">
        <v>443777.6</v>
      </c>
      <c r="J37" s="236">
        <v>442442.617</v>
      </c>
      <c r="K37" s="235">
        <f t="shared" si="2"/>
        <v>-1334.9829999999492</v>
      </c>
      <c r="L37" s="133">
        <f t="shared" si="3"/>
        <v>99.69917747087732</v>
      </c>
      <c r="M37" s="234"/>
      <c r="N37" s="234"/>
      <c r="O37" s="234"/>
      <c r="P37" s="351">
        <f t="shared" si="4"/>
        <v>0</v>
      </c>
      <c r="Q37" s="352" t="e">
        <f t="shared" si="5"/>
        <v>#DIV/0!</v>
      </c>
    </row>
    <row r="38" spans="1:17" s="78" customFormat="1" ht="22.5" customHeight="1" hidden="1">
      <c r="A38" s="77" t="s">
        <v>298</v>
      </c>
      <c r="B38" s="81" t="s">
        <v>297</v>
      </c>
      <c r="C38" s="234">
        <f t="shared" si="6"/>
        <v>0</v>
      </c>
      <c r="D38" s="234">
        <f t="shared" si="6"/>
        <v>0</v>
      </c>
      <c r="E38" s="234">
        <f t="shared" si="7"/>
        <v>0</v>
      </c>
      <c r="F38" s="235">
        <f t="shared" si="0"/>
        <v>0</v>
      </c>
      <c r="G38" s="133" t="e">
        <f t="shared" si="1"/>
        <v>#DIV/0!</v>
      </c>
      <c r="H38" s="236"/>
      <c r="I38" s="236"/>
      <c r="J38" s="236"/>
      <c r="K38" s="235">
        <f t="shared" si="2"/>
        <v>0</v>
      </c>
      <c r="L38" s="133" t="e">
        <f t="shared" si="3"/>
        <v>#DIV/0!</v>
      </c>
      <c r="M38" s="234"/>
      <c r="N38" s="234"/>
      <c r="O38" s="234"/>
      <c r="P38" s="235">
        <f t="shared" si="4"/>
        <v>0</v>
      </c>
      <c r="Q38" s="133" t="e">
        <f t="shared" si="5"/>
        <v>#DIV/0!</v>
      </c>
    </row>
    <row r="39" spans="1:17" s="78" customFormat="1" ht="22.5" customHeight="1">
      <c r="A39" s="77" t="s">
        <v>151</v>
      </c>
      <c r="B39" s="81" t="s">
        <v>150</v>
      </c>
      <c r="C39" s="234"/>
      <c r="D39" s="234"/>
      <c r="E39" s="234"/>
      <c r="F39" s="351">
        <f t="shared" si="0"/>
        <v>0</v>
      </c>
      <c r="G39" s="352" t="e">
        <f t="shared" si="1"/>
        <v>#DIV/0!</v>
      </c>
      <c r="H39" s="236">
        <v>5268161</v>
      </c>
      <c r="I39" s="236">
        <v>5482797.5</v>
      </c>
      <c r="J39" s="236">
        <v>5454887.173</v>
      </c>
      <c r="K39" s="235">
        <f t="shared" si="2"/>
        <v>-27910.326999999583</v>
      </c>
      <c r="L39" s="133">
        <f t="shared" si="3"/>
        <v>99.49094733117538</v>
      </c>
      <c r="M39" s="234"/>
      <c r="N39" s="234">
        <v>1600</v>
      </c>
      <c r="O39" s="234">
        <v>1600</v>
      </c>
      <c r="P39" s="351">
        <f t="shared" si="4"/>
        <v>0</v>
      </c>
      <c r="Q39" s="133">
        <f t="shared" si="5"/>
        <v>100</v>
      </c>
    </row>
    <row r="40" spans="1:17" s="78" customFormat="1" ht="22.5" customHeight="1" hidden="1">
      <c r="A40" s="77" t="s">
        <v>300</v>
      </c>
      <c r="B40" s="81" t="s">
        <v>299</v>
      </c>
      <c r="C40" s="234">
        <f t="shared" si="6"/>
        <v>0</v>
      </c>
      <c r="D40" s="234">
        <f t="shared" si="6"/>
        <v>0</v>
      </c>
      <c r="E40" s="234">
        <f t="shared" si="7"/>
        <v>0</v>
      </c>
      <c r="F40" s="235">
        <f t="shared" si="0"/>
        <v>0</v>
      </c>
      <c r="G40" s="133" t="e">
        <f t="shared" si="1"/>
        <v>#DIV/0!</v>
      </c>
      <c r="H40" s="236"/>
      <c r="I40" s="236"/>
      <c r="J40" s="236"/>
      <c r="K40" s="235">
        <f t="shared" si="2"/>
        <v>0</v>
      </c>
      <c r="L40" s="133" t="e">
        <f t="shared" si="3"/>
        <v>#DIV/0!</v>
      </c>
      <c r="M40" s="234"/>
      <c r="N40" s="234"/>
      <c r="O40" s="234"/>
      <c r="P40" s="235">
        <f t="shared" si="4"/>
        <v>0</v>
      </c>
      <c r="Q40" s="133" t="e">
        <f t="shared" si="5"/>
        <v>#DIV/0!</v>
      </c>
    </row>
    <row r="41" spans="1:17" s="78" customFormat="1" ht="22.5" customHeight="1">
      <c r="A41" s="77" t="s">
        <v>153</v>
      </c>
      <c r="B41" s="81" t="s">
        <v>152</v>
      </c>
      <c r="C41" s="234">
        <f t="shared" si="6"/>
        <v>524.6</v>
      </c>
      <c r="D41" s="234">
        <f t="shared" si="6"/>
        <v>775</v>
      </c>
      <c r="E41" s="234">
        <f t="shared" si="7"/>
        <v>651.9</v>
      </c>
      <c r="F41" s="235">
        <f t="shared" si="0"/>
        <v>-123.10000000000002</v>
      </c>
      <c r="G41" s="133">
        <f t="shared" si="1"/>
        <v>84.11612903225806</v>
      </c>
      <c r="H41" s="236">
        <v>524.6</v>
      </c>
      <c r="I41" s="236">
        <v>775</v>
      </c>
      <c r="J41" s="236">
        <v>651.9</v>
      </c>
      <c r="K41" s="235">
        <f t="shared" si="2"/>
        <v>-123.10000000000002</v>
      </c>
      <c r="L41" s="133">
        <f t="shared" si="3"/>
        <v>84.11612903225806</v>
      </c>
      <c r="M41" s="234"/>
      <c r="N41" s="234"/>
      <c r="O41" s="234"/>
      <c r="P41" s="351">
        <f t="shared" si="4"/>
        <v>0</v>
      </c>
      <c r="Q41" s="352" t="e">
        <f t="shared" si="5"/>
        <v>#DIV/0!</v>
      </c>
    </row>
    <row r="42" spans="1:17" s="78" customFormat="1" ht="22.5" customHeight="1">
      <c r="A42" s="77" t="s">
        <v>155</v>
      </c>
      <c r="B42" s="81" t="s">
        <v>154</v>
      </c>
      <c r="C42" s="234">
        <f t="shared" si="6"/>
        <v>7247</v>
      </c>
      <c r="D42" s="234">
        <f t="shared" si="6"/>
        <v>33745.7</v>
      </c>
      <c r="E42" s="234">
        <f t="shared" si="7"/>
        <v>33185.301</v>
      </c>
      <c r="F42" s="235">
        <f t="shared" si="0"/>
        <v>-560.3989999999976</v>
      </c>
      <c r="G42" s="133">
        <f t="shared" si="1"/>
        <v>98.33934693901742</v>
      </c>
      <c r="H42" s="236">
        <v>1801.6</v>
      </c>
      <c r="I42" s="236">
        <v>25296.9</v>
      </c>
      <c r="J42" s="236">
        <v>25081.528</v>
      </c>
      <c r="K42" s="235">
        <f t="shared" si="2"/>
        <v>-215.37200000000303</v>
      </c>
      <c r="L42" s="133">
        <f t="shared" si="3"/>
        <v>99.14862295380064</v>
      </c>
      <c r="M42" s="234">
        <v>5445.4</v>
      </c>
      <c r="N42" s="234">
        <v>8448.8</v>
      </c>
      <c r="O42" s="234">
        <v>8103.773</v>
      </c>
      <c r="P42" s="235">
        <f t="shared" si="4"/>
        <v>-345.02699999999913</v>
      </c>
      <c r="Q42" s="133">
        <f t="shared" si="5"/>
        <v>95.91626029732035</v>
      </c>
    </row>
    <row r="43" spans="1:17" s="78" customFormat="1" ht="22.5" customHeight="1">
      <c r="A43" s="77" t="s">
        <v>192</v>
      </c>
      <c r="B43" s="81" t="s">
        <v>156</v>
      </c>
      <c r="C43" s="234">
        <f t="shared" si="6"/>
        <v>1201.7</v>
      </c>
      <c r="D43" s="234">
        <f t="shared" si="6"/>
        <v>1301.1</v>
      </c>
      <c r="E43" s="234">
        <f t="shared" si="7"/>
        <v>1131.8</v>
      </c>
      <c r="F43" s="235">
        <f t="shared" si="0"/>
        <v>-169.29999999999995</v>
      </c>
      <c r="G43" s="133">
        <f t="shared" si="1"/>
        <v>86.98793328721851</v>
      </c>
      <c r="H43" s="236">
        <v>1201.7</v>
      </c>
      <c r="I43" s="236">
        <v>1256.1</v>
      </c>
      <c r="J43" s="236">
        <v>1086.8</v>
      </c>
      <c r="K43" s="235">
        <f t="shared" si="2"/>
        <v>-169.29999999999995</v>
      </c>
      <c r="L43" s="133">
        <f t="shared" si="3"/>
        <v>86.52177374412865</v>
      </c>
      <c r="M43" s="234"/>
      <c r="N43" s="234">
        <v>45</v>
      </c>
      <c r="O43" s="234">
        <v>45</v>
      </c>
      <c r="P43" s="351">
        <f t="shared" si="4"/>
        <v>0</v>
      </c>
      <c r="Q43" s="133">
        <f t="shared" si="5"/>
        <v>100</v>
      </c>
    </row>
    <row r="44" spans="1:17" s="78" customFormat="1" ht="22.5" customHeight="1" hidden="1">
      <c r="A44" s="77" t="s">
        <v>158</v>
      </c>
      <c r="B44" s="81" t="s">
        <v>157</v>
      </c>
      <c r="C44" s="234">
        <f>H44+M44</f>
        <v>0</v>
      </c>
      <c r="D44" s="234">
        <f>I44+N44</f>
        <v>0</v>
      </c>
      <c r="E44" s="234">
        <f>J44+O44</f>
        <v>0</v>
      </c>
      <c r="F44" s="235">
        <f t="shared" si="0"/>
        <v>0</v>
      </c>
      <c r="G44" s="133" t="e">
        <f t="shared" si="1"/>
        <v>#DIV/0!</v>
      </c>
      <c r="H44" s="236"/>
      <c r="I44" s="236"/>
      <c r="J44" s="236"/>
      <c r="K44" s="235">
        <f t="shared" si="2"/>
        <v>0</v>
      </c>
      <c r="L44" s="133" t="e">
        <f t="shared" si="3"/>
        <v>#DIV/0!</v>
      </c>
      <c r="M44" s="234"/>
      <c r="N44" s="234"/>
      <c r="O44" s="234"/>
      <c r="P44" s="235">
        <f t="shared" si="4"/>
        <v>0</v>
      </c>
      <c r="Q44" s="133" t="e">
        <f t="shared" si="5"/>
        <v>#DIV/0!</v>
      </c>
    </row>
    <row r="45" spans="1:17" s="78" customFormat="1" ht="22.5" customHeight="1">
      <c r="A45" s="77" t="s">
        <v>464</v>
      </c>
      <c r="B45" s="81" t="s">
        <v>463</v>
      </c>
      <c r="C45" s="234">
        <f t="shared" si="6"/>
        <v>3206.9</v>
      </c>
      <c r="D45" s="234">
        <f t="shared" si="6"/>
        <v>17702.532</v>
      </c>
      <c r="E45" s="234">
        <f t="shared" si="7"/>
        <v>17424.025</v>
      </c>
      <c r="F45" s="235">
        <f t="shared" si="0"/>
        <v>-278.5069999999978</v>
      </c>
      <c r="G45" s="133">
        <f t="shared" si="1"/>
        <v>98.42673918058729</v>
      </c>
      <c r="H45" s="236">
        <v>100</v>
      </c>
      <c r="I45" s="236">
        <v>4366.3</v>
      </c>
      <c r="J45" s="236">
        <v>4347.411</v>
      </c>
      <c r="K45" s="235">
        <f t="shared" si="2"/>
        <v>-18.889000000000124</v>
      </c>
      <c r="L45" s="133">
        <f t="shared" si="3"/>
        <v>99.56739115498247</v>
      </c>
      <c r="M45" s="234">
        <v>3106.9</v>
      </c>
      <c r="N45" s="234">
        <v>13336.232</v>
      </c>
      <c r="O45" s="234">
        <v>13076.614</v>
      </c>
      <c r="P45" s="235">
        <f t="shared" si="4"/>
        <v>-259.6180000000004</v>
      </c>
      <c r="Q45" s="133">
        <f t="shared" si="5"/>
        <v>98.05328821514202</v>
      </c>
    </row>
    <row r="46" spans="1:17" s="78" customFormat="1" ht="22.5" customHeight="1">
      <c r="A46" s="77" t="s">
        <v>466</v>
      </c>
      <c r="B46" s="81" t="s">
        <v>465</v>
      </c>
      <c r="C46" s="234">
        <f aca="true" t="shared" si="12" ref="C46:E47">H46+M46</f>
        <v>279466.7</v>
      </c>
      <c r="D46" s="234">
        <f t="shared" si="12"/>
        <v>255349.63</v>
      </c>
      <c r="E46" s="234">
        <f t="shared" si="12"/>
        <v>218264.629</v>
      </c>
      <c r="F46" s="235">
        <f t="shared" si="0"/>
        <v>-37085.00100000002</v>
      </c>
      <c r="G46" s="133">
        <f t="shared" si="1"/>
        <v>85.47677511809984</v>
      </c>
      <c r="H46" s="236">
        <v>150000</v>
      </c>
      <c r="I46" s="236">
        <v>156500</v>
      </c>
      <c r="J46" s="236">
        <v>156477.09</v>
      </c>
      <c r="K46" s="235">
        <f t="shared" si="2"/>
        <v>-22.910000000003492</v>
      </c>
      <c r="L46" s="133">
        <f t="shared" si="3"/>
        <v>99.98536102236422</v>
      </c>
      <c r="M46" s="234">
        <v>129466.7</v>
      </c>
      <c r="N46" s="234">
        <v>98849.63</v>
      </c>
      <c r="O46" s="234">
        <v>61787.539</v>
      </c>
      <c r="P46" s="235">
        <f t="shared" si="4"/>
        <v>-37062.09100000001</v>
      </c>
      <c r="Q46" s="133">
        <f t="shared" si="5"/>
        <v>62.50659612989951</v>
      </c>
    </row>
    <row r="47" spans="1:17" s="76" customFormat="1" ht="22.5" customHeight="1">
      <c r="A47" s="75" t="s">
        <v>160</v>
      </c>
      <c r="B47" s="80" t="s">
        <v>159</v>
      </c>
      <c r="C47" s="233">
        <f t="shared" si="12"/>
        <v>235528.2</v>
      </c>
      <c r="D47" s="233">
        <f t="shared" si="12"/>
        <v>813244.345</v>
      </c>
      <c r="E47" s="233">
        <f t="shared" si="12"/>
        <v>579052.3339999999</v>
      </c>
      <c r="F47" s="232">
        <f t="shared" si="0"/>
        <v>-234192.01100000006</v>
      </c>
      <c r="G47" s="82">
        <f t="shared" si="1"/>
        <v>71.20274952542091</v>
      </c>
      <c r="H47" s="210">
        <v>208831.1</v>
      </c>
      <c r="I47" s="210">
        <v>760401.27</v>
      </c>
      <c r="J47" s="210">
        <f>378372.696+159917.014</f>
        <v>538289.71</v>
      </c>
      <c r="K47" s="232">
        <f t="shared" si="2"/>
        <v>-222111.56000000006</v>
      </c>
      <c r="L47" s="82">
        <f t="shared" si="3"/>
        <v>70.79021711786461</v>
      </c>
      <c r="M47" s="233">
        <v>26697.1</v>
      </c>
      <c r="N47" s="233">
        <v>52843.075</v>
      </c>
      <c r="O47" s="233">
        <v>40762.624</v>
      </c>
      <c r="P47" s="232">
        <f t="shared" si="4"/>
        <v>-12080.450999999994</v>
      </c>
      <c r="Q47" s="82">
        <f t="shared" si="5"/>
        <v>77.13900828064985</v>
      </c>
    </row>
    <row r="48" spans="1:17" s="78" customFormat="1" ht="22.5" customHeight="1">
      <c r="A48" s="77"/>
      <c r="B48" s="81" t="s">
        <v>159</v>
      </c>
      <c r="C48" s="234"/>
      <c r="D48" s="234"/>
      <c r="E48" s="236"/>
      <c r="F48" s="232"/>
      <c r="G48" s="82"/>
      <c r="H48" s="236"/>
      <c r="I48" s="236"/>
      <c r="J48" s="236"/>
      <c r="K48" s="232"/>
      <c r="L48" s="82"/>
      <c r="M48" s="234"/>
      <c r="N48" s="234"/>
      <c r="O48" s="234"/>
      <c r="P48" s="232"/>
      <c r="Q48" s="82"/>
    </row>
    <row r="49" spans="1:17" s="76" customFormat="1" ht="22.5" customHeight="1">
      <c r="A49" s="75" t="s">
        <v>577</v>
      </c>
      <c r="B49" s="79"/>
      <c r="C49" s="233">
        <f>H49+M49</f>
        <v>15933179</v>
      </c>
      <c r="D49" s="233">
        <f>I49+N49</f>
        <v>16880531.299999997</v>
      </c>
      <c r="E49" s="233">
        <f>J49+O49</f>
        <v>16470725.5</v>
      </c>
      <c r="F49" s="232">
        <f t="shared" si="0"/>
        <v>-409805.799999997</v>
      </c>
      <c r="G49" s="82">
        <f t="shared" si="1"/>
        <v>97.5723169329392</v>
      </c>
      <c r="H49" s="233">
        <f>5114922.5+10743269.9</f>
        <v>15858192.4</v>
      </c>
      <c r="I49" s="233">
        <f>5757002.6+11037734.7</f>
        <v>16794737.299999997</v>
      </c>
      <c r="J49" s="233">
        <f>5672428.6+10719696.5</f>
        <v>16392125.1</v>
      </c>
      <c r="K49" s="232">
        <f t="shared" si="2"/>
        <v>-402612.1999999974</v>
      </c>
      <c r="L49" s="82">
        <f t="shared" si="3"/>
        <v>97.60274785602037</v>
      </c>
      <c r="M49" s="233">
        <f>38516+36470.6</f>
        <v>74986.6</v>
      </c>
      <c r="N49" s="233">
        <f>45224.2+40569.8</f>
        <v>85794</v>
      </c>
      <c r="O49" s="233">
        <f>39741.7+38858.7</f>
        <v>78600.4</v>
      </c>
      <c r="P49" s="232">
        <f t="shared" si="4"/>
        <v>-7193.600000000006</v>
      </c>
      <c r="Q49" s="82">
        <f t="shared" si="5"/>
        <v>91.61526447070891</v>
      </c>
    </row>
    <row r="50" spans="1:17" s="78" customFormat="1" ht="22.5" customHeight="1">
      <c r="A50" s="77"/>
      <c r="B50" s="81" t="s">
        <v>159</v>
      </c>
      <c r="C50" s="234"/>
      <c r="D50" s="234"/>
      <c r="E50" s="236"/>
      <c r="F50" s="232"/>
      <c r="G50" s="82"/>
      <c r="H50" s="236"/>
      <c r="I50" s="236"/>
      <c r="J50" s="236"/>
      <c r="K50" s="232"/>
      <c r="L50" s="82"/>
      <c r="M50" s="234"/>
      <c r="N50" s="234"/>
      <c r="O50" s="234"/>
      <c r="P50" s="232"/>
      <c r="Q50" s="82"/>
    </row>
    <row r="51" spans="1:17" s="76" customFormat="1" ht="22.5" customHeight="1">
      <c r="A51" s="75" t="s">
        <v>1</v>
      </c>
      <c r="B51" s="79"/>
      <c r="C51" s="233">
        <f>C52+C94</f>
        <v>6608863.2</v>
      </c>
      <c r="D51" s="233">
        <f>D52+D94</f>
        <v>7419806.578000002</v>
      </c>
      <c r="E51" s="233">
        <f>E52+E94</f>
        <v>6432311.170000001</v>
      </c>
      <c r="F51" s="232">
        <f aca="true" t="shared" si="13" ref="F51:F108">E51-D51</f>
        <v>-987495.4080000008</v>
      </c>
      <c r="G51" s="82">
        <f aca="true" t="shared" si="14" ref="G51:G108">E51/D51*100</f>
        <v>86.69108961778113</v>
      </c>
      <c r="H51" s="233">
        <f>H52+H94</f>
        <v>5987516.1000000015</v>
      </c>
      <c r="I51" s="233">
        <f>I52+I94</f>
        <v>6781536.236</v>
      </c>
      <c r="J51" s="233">
        <f>J52+J94</f>
        <v>5852443.9180000005</v>
      </c>
      <c r="K51" s="232">
        <f aca="true" t="shared" si="15" ref="K51:K108">J51-I51</f>
        <v>-929092.317999999</v>
      </c>
      <c r="L51" s="82">
        <f aca="true" t="shared" si="16" ref="L51:L108">J51/I51*100</f>
        <v>86.29967774753038</v>
      </c>
      <c r="M51" s="233">
        <f>M52+M94</f>
        <v>621347.1</v>
      </c>
      <c r="N51" s="233">
        <f>N52+N94</f>
        <v>638270.3420000001</v>
      </c>
      <c r="O51" s="233">
        <f>O52+O94</f>
        <v>579867.252</v>
      </c>
      <c r="P51" s="232">
        <f aca="true" t="shared" si="17" ref="P51:P108">O51-N51</f>
        <v>-58403.090000000084</v>
      </c>
      <c r="Q51" s="82">
        <f aca="true" t="shared" si="18" ref="Q51:Q108">O51/N51*100</f>
        <v>90.84978791008903</v>
      </c>
    </row>
    <row r="52" spans="1:17" s="76" customFormat="1" ht="22.5" customHeight="1">
      <c r="A52" s="75" t="s">
        <v>130</v>
      </c>
      <c r="B52" s="80"/>
      <c r="C52" s="233">
        <f>C53+C54+C55+C56+C57+C58+C59+C60+C61+C62+C63+C64+C65+C66+C67+C68+C69+C70+C71+C72+C73+C74+C75+C76+C77+C78+C79+C80+C81+C82+C83+C84+C85+C86+C87+C88+C89+C90+C91+C92+C93</f>
        <v>6219532.9</v>
      </c>
      <c r="D52" s="233">
        <f>D53+D54+D55+D56+D57+D58+D59+D60+D61+D62+D63+D64+D65+D66+D67+D68+D69+D70+D71+D72+D73+D74+D75+D76+D77+D78+D79+D80+D81+D82+D83+D84+D85+D86+D87+D88+D89+D90+D91+D92+D93</f>
        <v>6468374.5830000015</v>
      </c>
      <c r="E52" s="233">
        <f>E53+E54+E55+E56+E57+E58+E59+E60+E61+E62+E63+E64+E65+E66+E67+E68+E69+E70+E71+E72+E73+E74+E75+E76+E77+E78+E79+E80+E81+E82+E83+E84+E85+E86+E87+E88+E89+E90+E91+E92+E93</f>
        <v>5807293.163000001</v>
      </c>
      <c r="F52" s="232">
        <f t="shared" si="13"/>
        <v>-661081.4200000009</v>
      </c>
      <c r="G52" s="82">
        <f t="shared" si="14"/>
        <v>89.7797907106766</v>
      </c>
      <c r="H52" s="233">
        <f>H53+H54+H55+H56+H57+H58+H59+H60+H61+H62+H63+H64+H65+H66+H67+H68+H69+H70+H71+H72+H73+H74+H75+H76+H77+H78+H79+H80+H81+H82+H83+H84+H85+H86+H87+H88+H89+H90+H91+H92+H93</f>
        <v>5598966.400000001</v>
      </c>
      <c r="I52" s="233">
        <f>I53+I54+I55+I56+I57+I58+I59+I60+I61+I62+I63+I64+I65+I66+I67+I68+I69+I70+I71+I72+I73+I74+I75+I76+I77+I78+I79+I80+I81+I82+I83+I84+I85+I86+I87+I88+I89+I90+I91+I92+I93</f>
        <v>5835955.944999999</v>
      </c>
      <c r="J52" s="233">
        <f>J53+J54+J55+J56+J57+J58+J59+J60+J61+J62+J63+J64+J65+J66+J67+J68+J69+J70+J71+J72+J73+J74+J75+J76+J77+J78+J79+J80+J81+J82+J83+J84+J85+J86+J87+J88+J89+J90+J91+J92+J93</f>
        <v>5233035.226000001</v>
      </c>
      <c r="K52" s="232">
        <f t="shared" si="15"/>
        <v>-602920.7189999986</v>
      </c>
      <c r="L52" s="82">
        <f t="shared" si="16"/>
        <v>89.66886102838806</v>
      </c>
      <c r="M52" s="233">
        <f>M53+M54+M55+M56+M57+M58+M59+M60+M61+M62+M63+M64+M65+M66+M67+M68+M69+M70+M71+M72+M73+M74+M75+M76+M77+M78+M79+M80+M81+M82+M83+M84+M85+M86+M87+M88+M89+M90+M91+M92+M93</f>
        <v>620566.5</v>
      </c>
      <c r="N52" s="233">
        <f>N53+N54+N55+N56+N57+N58+N59+N60+N61+N62+N63+N64+N65+N66+N67+N68+N69+N70+N71+N72+N73+N74+N75+N76+N77+N78+N79+N80+N81+N82+N83+N84+N85+N86+N87+N88+N89+N90+N91+N92+N93</f>
        <v>632418.638</v>
      </c>
      <c r="O52" s="233">
        <f>O53+O54+O55+O56+O57+O58+O59+O60+O61+O62+O63+O64+O65+O66+O67+O68+O69+O70+O71+O72+O73+O74+O75+O76+O77+O78+O79+O80+O81+O82+O83+O84+O85+O86+O87+O88+O89+O90+O91+O92+O93</f>
        <v>574257.937</v>
      </c>
      <c r="P52" s="232">
        <f t="shared" si="17"/>
        <v>-58160.701</v>
      </c>
      <c r="Q52" s="82">
        <f t="shared" si="18"/>
        <v>90.80344924938787</v>
      </c>
    </row>
    <row r="53" spans="1:17" s="78" customFormat="1" ht="22.5" customHeight="1">
      <c r="A53" s="77" t="s">
        <v>132</v>
      </c>
      <c r="B53" s="81" t="s">
        <v>131</v>
      </c>
      <c r="C53" s="234">
        <f>H53+M53</f>
        <v>1893269.7</v>
      </c>
      <c r="D53" s="234">
        <f>I53+N53</f>
        <v>1935270.4309999999</v>
      </c>
      <c r="E53" s="234">
        <f>J53+O53</f>
        <v>1916816.753</v>
      </c>
      <c r="F53" s="235">
        <f t="shared" si="13"/>
        <v>-18453.67799999984</v>
      </c>
      <c r="G53" s="133">
        <f t="shared" si="14"/>
        <v>99.04645481559575</v>
      </c>
      <c r="H53" s="236">
        <v>1872688.3</v>
      </c>
      <c r="I53" s="236">
        <v>1910460.633</v>
      </c>
      <c r="J53" s="236">
        <v>1893239.251</v>
      </c>
      <c r="K53" s="235">
        <f t="shared" si="15"/>
        <v>-17221.381999999983</v>
      </c>
      <c r="L53" s="133">
        <f t="shared" si="16"/>
        <v>99.09857435937022</v>
      </c>
      <c r="M53" s="234">
        <v>20581.4</v>
      </c>
      <c r="N53" s="234">
        <v>24809.798</v>
      </c>
      <c r="O53" s="234">
        <v>23577.502</v>
      </c>
      <c r="P53" s="235">
        <f t="shared" si="17"/>
        <v>-1232.2959999999985</v>
      </c>
      <c r="Q53" s="133">
        <f t="shared" si="18"/>
        <v>95.03302687107731</v>
      </c>
    </row>
    <row r="54" spans="1:17" s="78" customFormat="1" ht="22.5" customHeight="1">
      <c r="A54" s="77" t="s">
        <v>134</v>
      </c>
      <c r="B54" s="81" t="s">
        <v>133</v>
      </c>
      <c r="C54" s="234">
        <f aca="true" t="shared" si="19" ref="C54:D93">H54+M54</f>
        <v>295389.4</v>
      </c>
      <c r="D54" s="234">
        <f t="shared" si="19"/>
        <v>298442.485</v>
      </c>
      <c r="E54" s="234">
        <f>J54+O54</f>
        <v>291524.94</v>
      </c>
      <c r="F54" s="235">
        <f t="shared" si="13"/>
        <v>-6917.544999999984</v>
      </c>
      <c r="G54" s="133">
        <f t="shared" si="14"/>
        <v>97.68211787942994</v>
      </c>
      <c r="H54" s="236">
        <v>292273.9</v>
      </c>
      <c r="I54" s="236">
        <v>294583.276</v>
      </c>
      <c r="J54" s="236">
        <v>287833.299</v>
      </c>
      <c r="K54" s="235">
        <f t="shared" si="15"/>
        <v>-6749.9770000000135</v>
      </c>
      <c r="L54" s="133">
        <f t="shared" si="16"/>
        <v>97.70863536733836</v>
      </c>
      <c r="M54" s="234">
        <v>3115.5</v>
      </c>
      <c r="N54" s="234">
        <v>3859.209</v>
      </c>
      <c r="O54" s="234">
        <v>3691.641</v>
      </c>
      <c r="P54" s="235">
        <f t="shared" si="17"/>
        <v>-167.56799999999976</v>
      </c>
      <c r="Q54" s="133">
        <f t="shared" si="18"/>
        <v>95.65797032500703</v>
      </c>
    </row>
    <row r="55" spans="1:17" s="78" customFormat="1" ht="22.5" customHeight="1">
      <c r="A55" s="77" t="s">
        <v>136</v>
      </c>
      <c r="B55" s="81" t="s">
        <v>135</v>
      </c>
      <c r="C55" s="234">
        <f t="shared" si="19"/>
        <v>88304.40000000001</v>
      </c>
      <c r="D55" s="234">
        <f t="shared" si="19"/>
        <v>126248.23</v>
      </c>
      <c r="E55" s="234">
        <f>J55+O55</f>
        <v>109015.992</v>
      </c>
      <c r="F55" s="235">
        <f t="shared" si="13"/>
        <v>-17232.237999999998</v>
      </c>
      <c r="G55" s="133">
        <f t="shared" si="14"/>
        <v>86.35051121112748</v>
      </c>
      <c r="H55" s="236">
        <v>87710.3</v>
      </c>
      <c r="I55" s="236">
        <v>125514.3</v>
      </c>
      <c r="J55" s="236">
        <v>108458.518</v>
      </c>
      <c r="K55" s="235">
        <f t="shared" si="15"/>
        <v>-17055.782000000007</v>
      </c>
      <c r="L55" s="133">
        <f t="shared" si="16"/>
        <v>86.41128381387618</v>
      </c>
      <c r="M55" s="234">
        <v>594.1</v>
      </c>
      <c r="N55" s="234">
        <v>733.93</v>
      </c>
      <c r="O55" s="234">
        <v>557.474</v>
      </c>
      <c r="P55" s="235">
        <f t="shared" si="17"/>
        <v>-176.4559999999999</v>
      </c>
      <c r="Q55" s="133">
        <f t="shared" si="18"/>
        <v>75.95738013162018</v>
      </c>
    </row>
    <row r="56" spans="1:17" s="78" customFormat="1" ht="22.5" customHeight="1">
      <c r="A56" s="77" t="s">
        <v>443</v>
      </c>
      <c r="B56" s="81" t="s">
        <v>137</v>
      </c>
      <c r="C56" s="234">
        <f t="shared" si="19"/>
        <v>35531.1</v>
      </c>
      <c r="D56" s="234">
        <f t="shared" si="19"/>
        <v>39264.6</v>
      </c>
      <c r="E56" s="234">
        <f>J56+O56</f>
        <v>29419.239</v>
      </c>
      <c r="F56" s="235">
        <f t="shared" si="13"/>
        <v>-9845.360999999997</v>
      </c>
      <c r="G56" s="133">
        <f t="shared" si="14"/>
        <v>74.9256047432038</v>
      </c>
      <c r="H56" s="234">
        <v>35368.2</v>
      </c>
      <c r="I56" s="234">
        <v>39088.5</v>
      </c>
      <c r="J56" s="234">
        <v>29267.519</v>
      </c>
      <c r="K56" s="235">
        <f t="shared" si="15"/>
        <v>-9820.981</v>
      </c>
      <c r="L56" s="133">
        <f t="shared" si="16"/>
        <v>74.87501183212454</v>
      </c>
      <c r="M56" s="234">
        <v>162.9</v>
      </c>
      <c r="N56" s="234">
        <v>176.1</v>
      </c>
      <c r="O56" s="234">
        <v>151.72</v>
      </c>
      <c r="P56" s="235">
        <f t="shared" si="17"/>
        <v>-24.379999999999995</v>
      </c>
      <c r="Q56" s="133">
        <f t="shared" si="18"/>
        <v>86.15559341283362</v>
      </c>
    </row>
    <row r="57" spans="1:17" s="78" customFormat="1" ht="22.5" customHeight="1">
      <c r="A57" s="77" t="s">
        <v>9</v>
      </c>
      <c r="B57" s="81" t="s">
        <v>138</v>
      </c>
      <c r="C57" s="234">
        <f t="shared" si="19"/>
        <v>41038.4</v>
      </c>
      <c r="D57" s="234">
        <f t="shared" si="19"/>
        <v>41310.4</v>
      </c>
      <c r="E57" s="234">
        <f aca="true" t="shared" si="20" ref="E57:E93">J57+O57</f>
        <v>38739.326</v>
      </c>
      <c r="F57" s="235">
        <f t="shared" si="13"/>
        <v>-2571.0740000000005</v>
      </c>
      <c r="G57" s="133">
        <f t="shared" si="14"/>
        <v>93.77620647585113</v>
      </c>
      <c r="H57" s="236">
        <v>40358.1</v>
      </c>
      <c r="I57" s="236">
        <v>40574.9</v>
      </c>
      <c r="J57" s="236">
        <v>38013.276</v>
      </c>
      <c r="K57" s="235">
        <f t="shared" si="15"/>
        <v>-2561.6240000000034</v>
      </c>
      <c r="L57" s="133">
        <f t="shared" si="16"/>
        <v>93.68667821732154</v>
      </c>
      <c r="M57" s="234">
        <v>680.3</v>
      </c>
      <c r="N57" s="234">
        <v>735.5</v>
      </c>
      <c r="O57" s="234">
        <v>726.05</v>
      </c>
      <c r="P57" s="235">
        <f t="shared" si="17"/>
        <v>-9.450000000000045</v>
      </c>
      <c r="Q57" s="133">
        <f t="shared" si="18"/>
        <v>98.71515975526852</v>
      </c>
    </row>
    <row r="58" spans="1:17" s="78" customFormat="1" ht="22.5" customHeight="1">
      <c r="A58" s="77" t="s">
        <v>140</v>
      </c>
      <c r="B58" s="81" t="s">
        <v>139</v>
      </c>
      <c r="C58" s="234">
        <f t="shared" si="19"/>
        <v>119003.1</v>
      </c>
      <c r="D58" s="234">
        <f t="shared" si="19"/>
        <v>210207.36299999998</v>
      </c>
      <c r="E58" s="234">
        <f t="shared" si="20"/>
        <v>201265.956</v>
      </c>
      <c r="F58" s="235">
        <f t="shared" si="13"/>
        <v>-8941.406999999977</v>
      </c>
      <c r="G58" s="133">
        <f t="shared" si="14"/>
        <v>95.74638734229306</v>
      </c>
      <c r="H58" s="236">
        <v>107835.8</v>
      </c>
      <c r="I58" s="236">
        <v>197374.055</v>
      </c>
      <c r="J58" s="236">
        <v>189189.116</v>
      </c>
      <c r="K58" s="235">
        <f t="shared" si="15"/>
        <v>-8184.938999999984</v>
      </c>
      <c r="L58" s="133">
        <f t="shared" si="16"/>
        <v>95.85308261513906</v>
      </c>
      <c r="M58" s="234">
        <v>11167.3</v>
      </c>
      <c r="N58" s="234">
        <v>12833.308</v>
      </c>
      <c r="O58" s="234">
        <v>12076.84</v>
      </c>
      <c r="P58" s="235">
        <f t="shared" si="17"/>
        <v>-756.4680000000008</v>
      </c>
      <c r="Q58" s="133">
        <f t="shared" si="18"/>
        <v>94.10543251981484</v>
      </c>
    </row>
    <row r="59" spans="1:17" s="78" customFormat="1" ht="22.5" customHeight="1">
      <c r="A59" s="77" t="s">
        <v>444</v>
      </c>
      <c r="B59" s="81" t="s">
        <v>141</v>
      </c>
      <c r="C59" s="234">
        <f t="shared" si="19"/>
        <v>1434788.1</v>
      </c>
      <c r="D59" s="234">
        <f t="shared" si="19"/>
        <v>1580575.663</v>
      </c>
      <c r="E59" s="234">
        <f t="shared" si="20"/>
        <v>1411050.832</v>
      </c>
      <c r="F59" s="235">
        <f t="shared" si="13"/>
        <v>-169524.831</v>
      </c>
      <c r="G59" s="133">
        <f t="shared" si="14"/>
        <v>89.27448808883754</v>
      </c>
      <c r="H59" s="234">
        <v>1282261.8</v>
      </c>
      <c r="I59" s="234">
        <v>1425810.375</v>
      </c>
      <c r="J59" s="240">
        <v>1303974.912</v>
      </c>
      <c r="K59" s="235">
        <f t="shared" si="15"/>
        <v>-121835.46299999999</v>
      </c>
      <c r="L59" s="133">
        <f t="shared" si="16"/>
        <v>91.45500235260948</v>
      </c>
      <c r="M59" s="234">
        <v>152526.3</v>
      </c>
      <c r="N59" s="234">
        <v>154765.288</v>
      </c>
      <c r="O59" s="234">
        <v>107075.92</v>
      </c>
      <c r="P59" s="235">
        <f t="shared" si="17"/>
        <v>-47689.368</v>
      </c>
      <c r="Q59" s="133">
        <f t="shared" si="18"/>
        <v>69.18600506852674</v>
      </c>
    </row>
    <row r="60" spans="1:17" s="78" customFormat="1" ht="22.5" customHeight="1" hidden="1">
      <c r="A60" s="77" t="s">
        <v>290</v>
      </c>
      <c r="B60" s="81" t="s">
        <v>285</v>
      </c>
      <c r="C60" s="234">
        <f t="shared" si="19"/>
        <v>0</v>
      </c>
      <c r="D60" s="234">
        <f t="shared" si="19"/>
        <v>0</v>
      </c>
      <c r="E60" s="234">
        <f t="shared" si="20"/>
        <v>0</v>
      </c>
      <c r="F60" s="235">
        <f t="shared" si="13"/>
        <v>0</v>
      </c>
      <c r="G60" s="133" t="e">
        <f t="shared" si="14"/>
        <v>#DIV/0!</v>
      </c>
      <c r="H60" s="236"/>
      <c r="I60" s="236"/>
      <c r="J60" s="236"/>
      <c r="K60" s="235">
        <f t="shared" si="15"/>
        <v>0</v>
      </c>
      <c r="L60" s="133" t="e">
        <f t="shared" si="16"/>
        <v>#DIV/0!</v>
      </c>
      <c r="M60" s="234"/>
      <c r="N60" s="234"/>
      <c r="O60" s="234"/>
      <c r="P60" s="235">
        <f t="shared" si="17"/>
        <v>0</v>
      </c>
      <c r="Q60" s="133" t="e">
        <f t="shared" si="18"/>
        <v>#DIV/0!</v>
      </c>
    </row>
    <row r="61" spans="1:17" s="78" customFormat="1" ht="22.5" customHeight="1">
      <c r="A61" s="77" t="s">
        <v>519</v>
      </c>
      <c r="B61" s="81" t="s">
        <v>286</v>
      </c>
      <c r="C61" s="234">
        <f t="shared" si="19"/>
        <v>164</v>
      </c>
      <c r="D61" s="234">
        <f t="shared" si="19"/>
        <v>138.4</v>
      </c>
      <c r="E61" s="234">
        <f t="shared" si="20"/>
        <v>108.163</v>
      </c>
      <c r="F61" s="235">
        <f t="shared" si="13"/>
        <v>-30.23700000000001</v>
      </c>
      <c r="G61" s="133">
        <f t="shared" si="14"/>
        <v>78.15245664739884</v>
      </c>
      <c r="H61" s="236">
        <v>164</v>
      </c>
      <c r="I61" s="236">
        <v>138.4</v>
      </c>
      <c r="J61" s="236">
        <v>108.163</v>
      </c>
      <c r="K61" s="235">
        <f t="shared" si="15"/>
        <v>-30.23700000000001</v>
      </c>
      <c r="L61" s="133">
        <f t="shared" si="16"/>
        <v>78.15245664739884</v>
      </c>
      <c r="M61" s="234"/>
      <c r="N61" s="234"/>
      <c r="O61" s="234"/>
      <c r="P61" s="351">
        <f t="shared" si="17"/>
        <v>0</v>
      </c>
      <c r="Q61" s="352" t="e">
        <f t="shared" si="18"/>
        <v>#DIV/0!</v>
      </c>
    </row>
    <row r="62" spans="1:17" s="78" customFormat="1" ht="22.5" customHeight="1">
      <c r="A62" s="77" t="s">
        <v>169</v>
      </c>
      <c r="B62" s="81" t="s">
        <v>287</v>
      </c>
      <c r="C62" s="234">
        <f t="shared" si="19"/>
        <v>7978.6</v>
      </c>
      <c r="D62" s="234">
        <f t="shared" si="19"/>
        <v>8447.9</v>
      </c>
      <c r="E62" s="234">
        <f t="shared" si="20"/>
        <v>8404.418</v>
      </c>
      <c r="F62" s="235">
        <f t="shared" si="13"/>
        <v>-43.48199999999997</v>
      </c>
      <c r="G62" s="133">
        <f t="shared" si="14"/>
        <v>99.48529220279596</v>
      </c>
      <c r="H62" s="236">
        <v>7978.6</v>
      </c>
      <c r="I62" s="236">
        <v>8447.9</v>
      </c>
      <c r="J62" s="236">
        <v>8404.418</v>
      </c>
      <c r="K62" s="235">
        <f t="shared" si="15"/>
        <v>-43.48199999999997</v>
      </c>
      <c r="L62" s="133">
        <f t="shared" si="16"/>
        <v>99.48529220279596</v>
      </c>
      <c r="M62" s="234"/>
      <c r="N62" s="234"/>
      <c r="O62" s="234"/>
      <c r="P62" s="351">
        <f t="shared" si="17"/>
        <v>0</v>
      </c>
      <c r="Q62" s="352" t="e">
        <f t="shared" si="18"/>
        <v>#DIV/0!</v>
      </c>
    </row>
    <row r="63" spans="1:17" s="78" customFormat="1" ht="22.5" customHeight="1">
      <c r="A63" s="77" t="s">
        <v>446</v>
      </c>
      <c r="B63" s="81" t="s">
        <v>445</v>
      </c>
      <c r="C63" s="234">
        <f t="shared" si="19"/>
        <v>72651.4</v>
      </c>
      <c r="D63" s="234">
        <f t="shared" si="19"/>
        <v>66258.755</v>
      </c>
      <c r="E63" s="234">
        <f t="shared" si="20"/>
        <v>57946.012</v>
      </c>
      <c r="F63" s="235">
        <f t="shared" si="13"/>
        <v>-8312.743000000002</v>
      </c>
      <c r="G63" s="133">
        <f t="shared" si="14"/>
        <v>87.45412134592628</v>
      </c>
      <c r="H63" s="236">
        <v>49074.6</v>
      </c>
      <c r="I63" s="236">
        <v>20002.4</v>
      </c>
      <c r="J63" s="236">
        <v>15228.694</v>
      </c>
      <c r="K63" s="235">
        <f t="shared" si="15"/>
        <v>-4773.706000000002</v>
      </c>
      <c r="L63" s="133">
        <f t="shared" si="16"/>
        <v>76.1343338799344</v>
      </c>
      <c r="M63" s="234">
        <v>23576.8</v>
      </c>
      <c r="N63" s="234">
        <v>46256.355</v>
      </c>
      <c r="O63" s="234">
        <v>42717.318</v>
      </c>
      <c r="P63" s="235">
        <f t="shared" si="17"/>
        <v>-3539.037000000004</v>
      </c>
      <c r="Q63" s="133">
        <f t="shared" si="18"/>
        <v>92.3490793859568</v>
      </c>
    </row>
    <row r="64" spans="1:17" s="78" customFormat="1" ht="22.5" customHeight="1">
      <c r="A64" s="77" t="s">
        <v>448</v>
      </c>
      <c r="B64" s="81" t="s">
        <v>447</v>
      </c>
      <c r="C64" s="234">
        <f t="shared" si="19"/>
        <v>38066.5</v>
      </c>
      <c r="D64" s="234">
        <f t="shared" si="19"/>
        <v>58320.256</v>
      </c>
      <c r="E64" s="234">
        <f t="shared" si="20"/>
        <v>43879.947</v>
      </c>
      <c r="F64" s="235">
        <f t="shared" si="13"/>
        <v>-14440.309000000001</v>
      </c>
      <c r="G64" s="133">
        <f t="shared" si="14"/>
        <v>75.23963372177242</v>
      </c>
      <c r="H64" s="236">
        <v>33111.4</v>
      </c>
      <c r="I64" s="236">
        <v>53230.706</v>
      </c>
      <c r="J64" s="236">
        <v>39486.87</v>
      </c>
      <c r="K64" s="235">
        <f t="shared" si="15"/>
        <v>-13743.835999999996</v>
      </c>
      <c r="L64" s="133">
        <f t="shared" si="16"/>
        <v>74.18062424345828</v>
      </c>
      <c r="M64" s="234">
        <v>4955.1</v>
      </c>
      <c r="N64" s="234">
        <v>5089.55</v>
      </c>
      <c r="O64" s="234">
        <v>4393.077</v>
      </c>
      <c r="P64" s="235">
        <f t="shared" si="17"/>
        <v>-696.473</v>
      </c>
      <c r="Q64" s="133">
        <f t="shared" si="18"/>
        <v>86.31562711831106</v>
      </c>
    </row>
    <row r="65" spans="1:17" s="78" customFormat="1" ht="22.5" customHeight="1">
      <c r="A65" s="77" t="s">
        <v>170</v>
      </c>
      <c r="B65" s="81" t="s">
        <v>449</v>
      </c>
      <c r="C65" s="234">
        <f t="shared" si="19"/>
        <v>2414.3</v>
      </c>
      <c r="D65" s="234">
        <f t="shared" si="19"/>
        <v>2933</v>
      </c>
      <c r="E65" s="234">
        <f t="shared" si="20"/>
        <v>2225.141</v>
      </c>
      <c r="F65" s="235">
        <f t="shared" si="13"/>
        <v>-707.8589999999999</v>
      </c>
      <c r="G65" s="133">
        <f t="shared" si="14"/>
        <v>75.86570064780089</v>
      </c>
      <c r="H65" s="236">
        <v>2307.8</v>
      </c>
      <c r="I65" s="236">
        <v>2826.5</v>
      </c>
      <c r="J65" s="236">
        <v>2127.631</v>
      </c>
      <c r="K65" s="235">
        <f t="shared" si="15"/>
        <v>-698.8690000000001</v>
      </c>
      <c r="L65" s="133">
        <f t="shared" si="16"/>
        <v>75.27440297187333</v>
      </c>
      <c r="M65" s="234">
        <v>106.5</v>
      </c>
      <c r="N65" s="234">
        <v>106.5</v>
      </c>
      <c r="O65" s="234">
        <v>97.51</v>
      </c>
      <c r="P65" s="235">
        <f t="shared" si="17"/>
        <v>-8.989999999999995</v>
      </c>
      <c r="Q65" s="133">
        <f t="shared" si="18"/>
        <v>91.55868544600939</v>
      </c>
    </row>
    <row r="66" spans="1:17" s="78" customFormat="1" ht="22.5" customHeight="1">
      <c r="A66" s="77" t="s">
        <v>451</v>
      </c>
      <c r="B66" s="81" t="s">
        <v>450</v>
      </c>
      <c r="C66" s="234">
        <f t="shared" si="19"/>
        <v>3020.4</v>
      </c>
      <c r="D66" s="234">
        <f t="shared" si="19"/>
        <v>3531.7</v>
      </c>
      <c r="E66" s="234">
        <f t="shared" si="20"/>
        <v>3412.035</v>
      </c>
      <c r="F66" s="235">
        <f t="shared" si="13"/>
        <v>-119.66499999999996</v>
      </c>
      <c r="G66" s="133">
        <f t="shared" si="14"/>
        <v>96.61168842200641</v>
      </c>
      <c r="H66" s="236">
        <v>2500.4</v>
      </c>
      <c r="I66" s="236">
        <v>2824.7</v>
      </c>
      <c r="J66" s="236">
        <v>2705.035</v>
      </c>
      <c r="K66" s="235">
        <f t="shared" si="15"/>
        <v>-119.66499999999996</v>
      </c>
      <c r="L66" s="133">
        <f t="shared" si="16"/>
        <v>95.76362091549545</v>
      </c>
      <c r="M66" s="234">
        <v>520</v>
      </c>
      <c r="N66" s="234">
        <v>707</v>
      </c>
      <c r="O66" s="234">
        <v>707</v>
      </c>
      <c r="P66" s="351">
        <f t="shared" si="17"/>
        <v>0</v>
      </c>
      <c r="Q66" s="133">
        <f t="shared" si="18"/>
        <v>100</v>
      </c>
    </row>
    <row r="67" spans="1:17" s="78" customFormat="1" ht="22.5" customHeight="1">
      <c r="A67" s="77" t="s">
        <v>453</v>
      </c>
      <c r="B67" s="81" t="s">
        <v>452</v>
      </c>
      <c r="C67" s="234">
        <f t="shared" si="19"/>
        <v>27318.4</v>
      </c>
      <c r="D67" s="234">
        <f t="shared" si="19"/>
        <v>26188</v>
      </c>
      <c r="E67" s="234">
        <f t="shared" si="20"/>
        <v>24416.639</v>
      </c>
      <c r="F67" s="235">
        <f t="shared" si="13"/>
        <v>-1771.3610000000008</v>
      </c>
      <c r="G67" s="133">
        <f t="shared" si="14"/>
        <v>93.23598212921948</v>
      </c>
      <c r="H67" s="236">
        <v>27318.4</v>
      </c>
      <c r="I67" s="236">
        <v>26188</v>
      </c>
      <c r="J67" s="236">
        <v>24416.639</v>
      </c>
      <c r="K67" s="235">
        <f t="shared" si="15"/>
        <v>-1771.3610000000008</v>
      </c>
      <c r="L67" s="133">
        <f t="shared" si="16"/>
        <v>93.23598212921948</v>
      </c>
      <c r="M67" s="234"/>
      <c r="N67" s="234"/>
      <c r="O67" s="234"/>
      <c r="P67" s="351">
        <f t="shared" si="17"/>
        <v>0</v>
      </c>
      <c r="Q67" s="352" t="e">
        <f t="shared" si="18"/>
        <v>#DIV/0!</v>
      </c>
    </row>
    <row r="68" spans="1:17" s="78" customFormat="1" ht="22.5" customHeight="1">
      <c r="A68" s="77" t="s">
        <v>455</v>
      </c>
      <c r="B68" s="81" t="s">
        <v>454</v>
      </c>
      <c r="C68" s="234">
        <f t="shared" si="19"/>
        <v>77917.9</v>
      </c>
      <c r="D68" s="234">
        <f t="shared" si="19"/>
        <v>34917.9</v>
      </c>
      <c r="E68" s="234">
        <f t="shared" si="20"/>
        <v>29449.746</v>
      </c>
      <c r="F68" s="235">
        <f t="shared" si="13"/>
        <v>-5468.154000000002</v>
      </c>
      <c r="G68" s="133">
        <f t="shared" si="14"/>
        <v>84.33996889847327</v>
      </c>
      <c r="H68" s="236">
        <v>77917.9</v>
      </c>
      <c r="I68" s="236">
        <v>34917.9</v>
      </c>
      <c r="J68" s="236">
        <v>29449.746</v>
      </c>
      <c r="K68" s="235">
        <f t="shared" si="15"/>
        <v>-5468.154000000002</v>
      </c>
      <c r="L68" s="133">
        <f t="shared" si="16"/>
        <v>84.33996889847327</v>
      </c>
      <c r="M68" s="234"/>
      <c r="N68" s="234"/>
      <c r="O68" s="234"/>
      <c r="P68" s="351">
        <f t="shared" si="17"/>
        <v>0</v>
      </c>
      <c r="Q68" s="352" t="e">
        <f t="shared" si="18"/>
        <v>#DIV/0!</v>
      </c>
    </row>
    <row r="69" spans="1:17" s="78" customFormat="1" ht="22.5" customHeight="1">
      <c r="A69" s="77" t="s">
        <v>543</v>
      </c>
      <c r="B69" s="81" t="s">
        <v>456</v>
      </c>
      <c r="C69" s="234">
        <f t="shared" si="19"/>
        <v>200463</v>
      </c>
      <c r="D69" s="234">
        <f t="shared" si="19"/>
        <v>203711.19999999998</v>
      </c>
      <c r="E69" s="234">
        <f t="shared" si="20"/>
        <v>200746.08</v>
      </c>
      <c r="F69" s="235">
        <f t="shared" si="13"/>
        <v>-2965.1199999999953</v>
      </c>
      <c r="G69" s="133">
        <f t="shared" si="14"/>
        <v>98.54444920063305</v>
      </c>
      <c r="H69" s="236">
        <v>199397.4</v>
      </c>
      <c r="I69" s="236">
        <v>202787.4</v>
      </c>
      <c r="J69" s="236">
        <v>199862.816</v>
      </c>
      <c r="K69" s="235">
        <f t="shared" si="15"/>
        <v>-2924.5840000000026</v>
      </c>
      <c r="L69" s="133">
        <f t="shared" si="16"/>
        <v>98.55780783224203</v>
      </c>
      <c r="M69" s="234">
        <v>1065.6</v>
      </c>
      <c r="N69" s="234">
        <v>923.8</v>
      </c>
      <c r="O69" s="234">
        <v>883.264</v>
      </c>
      <c r="P69" s="235">
        <f t="shared" si="17"/>
        <v>-40.535999999999945</v>
      </c>
      <c r="Q69" s="133">
        <f t="shared" si="18"/>
        <v>95.6120372374973</v>
      </c>
    </row>
    <row r="70" spans="1:17" s="78" customFormat="1" ht="22.5" customHeight="1" hidden="1">
      <c r="A70" s="77" t="s">
        <v>167</v>
      </c>
      <c r="B70" s="81" t="s">
        <v>457</v>
      </c>
      <c r="C70" s="234">
        <f t="shared" si="19"/>
        <v>0</v>
      </c>
      <c r="D70" s="234">
        <f t="shared" si="19"/>
        <v>0</v>
      </c>
      <c r="E70" s="234">
        <f t="shared" si="20"/>
        <v>0</v>
      </c>
      <c r="F70" s="235">
        <f t="shared" si="13"/>
        <v>0</v>
      </c>
      <c r="G70" s="133" t="e">
        <f t="shared" si="14"/>
        <v>#DIV/0!</v>
      </c>
      <c r="H70" s="236"/>
      <c r="I70" s="236"/>
      <c r="J70" s="236"/>
      <c r="K70" s="235">
        <f t="shared" si="15"/>
        <v>0</v>
      </c>
      <c r="L70" s="133" t="e">
        <f t="shared" si="16"/>
        <v>#DIV/0!</v>
      </c>
      <c r="M70" s="234"/>
      <c r="N70" s="234"/>
      <c r="O70" s="234"/>
      <c r="P70" s="235">
        <f t="shared" si="17"/>
        <v>0</v>
      </c>
      <c r="Q70" s="133" t="e">
        <f t="shared" si="18"/>
        <v>#DIV/0!</v>
      </c>
    </row>
    <row r="71" spans="1:17" s="78" customFormat="1" ht="22.5" customHeight="1" hidden="1">
      <c r="A71" s="77" t="s">
        <v>168</v>
      </c>
      <c r="B71" s="81" t="s">
        <v>458</v>
      </c>
      <c r="C71" s="234">
        <f t="shared" si="19"/>
        <v>0</v>
      </c>
      <c r="D71" s="234">
        <f t="shared" si="19"/>
        <v>0</v>
      </c>
      <c r="E71" s="234">
        <f t="shared" si="20"/>
        <v>0</v>
      </c>
      <c r="F71" s="235">
        <f t="shared" si="13"/>
        <v>0</v>
      </c>
      <c r="G71" s="133" t="e">
        <f t="shared" si="14"/>
        <v>#DIV/0!</v>
      </c>
      <c r="H71" s="236"/>
      <c r="I71" s="236"/>
      <c r="J71" s="236"/>
      <c r="K71" s="235">
        <f t="shared" si="15"/>
        <v>0</v>
      </c>
      <c r="L71" s="133" t="e">
        <f t="shared" si="16"/>
        <v>#DIV/0!</v>
      </c>
      <c r="M71" s="234"/>
      <c r="N71" s="234"/>
      <c r="O71" s="234"/>
      <c r="P71" s="235">
        <f t="shared" si="17"/>
        <v>0</v>
      </c>
      <c r="Q71" s="133" t="e">
        <f t="shared" si="18"/>
        <v>#DIV/0!</v>
      </c>
    </row>
    <row r="72" spans="1:17" s="78" customFormat="1" ht="22.5" customHeight="1" hidden="1">
      <c r="A72" s="77" t="s">
        <v>24</v>
      </c>
      <c r="B72" s="81" t="s">
        <v>459</v>
      </c>
      <c r="C72" s="234">
        <f t="shared" si="19"/>
        <v>0</v>
      </c>
      <c r="D72" s="234">
        <f t="shared" si="19"/>
        <v>0</v>
      </c>
      <c r="E72" s="234">
        <f t="shared" si="20"/>
        <v>0</v>
      </c>
      <c r="F72" s="235">
        <f t="shared" si="13"/>
        <v>0</v>
      </c>
      <c r="G72" s="133" t="e">
        <f t="shared" si="14"/>
        <v>#DIV/0!</v>
      </c>
      <c r="H72" s="236"/>
      <c r="I72" s="236"/>
      <c r="J72" s="236"/>
      <c r="K72" s="235">
        <f t="shared" si="15"/>
        <v>0</v>
      </c>
      <c r="L72" s="133" t="e">
        <f t="shared" si="16"/>
        <v>#DIV/0!</v>
      </c>
      <c r="M72" s="234"/>
      <c r="N72" s="234"/>
      <c r="O72" s="234"/>
      <c r="P72" s="235">
        <f t="shared" si="17"/>
        <v>0</v>
      </c>
      <c r="Q72" s="133" t="e">
        <f t="shared" si="18"/>
        <v>#DIV/0!</v>
      </c>
    </row>
    <row r="73" spans="1:17" s="78" customFormat="1" ht="22.5" customHeight="1">
      <c r="A73" s="77" t="s">
        <v>461</v>
      </c>
      <c r="B73" s="81" t="s">
        <v>460</v>
      </c>
      <c r="C73" s="234">
        <f t="shared" si="19"/>
        <v>492</v>
      </c>
      <c r="D73" s="234">
        <f t="shared" si="19"/>
        <v>436.3</v>
      </c>
      <c r="E73" s="234">
        <f t="shared" si="20"/>
        <v>254.557</v>
      </c>
      <c r="F73" s="235">
        <f t="shared" si="13"/>
        <v>-181.74300000000002</v>
      </c>
      <c r="G73" s="133">
        <f t="shared" si="14"/>
        <v>58.34448773779509</v>
      </c>
      <c r="H73" s="236">
        <v>492</v>
      </c>
      <c r="I73" s="236">
        <v>436.3</v>
      </c>
      <c r="J73" s="236">
        <v>254.557</v>
      </c>
      <c r="K73" s="235">
        <f t="shared" si="15"/>
        <v>-181.74300000000002</v>
      </c>
      <c r="L73" s="133">
        <f t="shared" si="16"/>
        <v>58.34448773779509</v>
      </c>
      <c r="M73" s="234"/>
      <c r="N73" s="234"/>
      <c r="O73" s="234"/>
      <c r="P73" s="351">
        <f t="shared" si="17"/>
        <v>0</v>
      </c>
      <c r="Q73" s="352" t="e">
        <f t="shared" si="18"/>
        <v>#DIV/0!</v>
      </c>
    </row>
    <row r="74" spans="1:17" s="78" customFormat="1" ht="22.5" customHeight="1" hidden="1">
      <c r="A74" s="77" t="s">
        <v>143</v>
      </c>
      <c r="B74" s="81" t="s">
        <v>142</v>
      </c>
      <c r="C74" s="234">
        <f t="shared" si="19"/>
        <v>0</v>
      </c>
      <c r="D74" s="234">
        <f t="shared" si="19"/>
        <v>0</v>
      </c>
      <c r="E74" s="234">
        <f t="shared" si="20"/>
        <v>0</v>
      </c>
      <c r="F74" s="235">
        <f t="shared" si="13"/>
        <v>0</v>
      </c>
      <c r="G74" s="133" t="e">
        <f t="shared" si="14"/>
        <v>#DIV/0!</v>
      </c>
      <c r="H74" s="236"/>
      <c r="I74" s="236"/>
      <c r="J74" s="236"/>
      <c r="K74" s="235">
        <f t="shared" si="15"/>
        <v>0</v>
      </c>
      <c r="L74" s="133" t="e">
        <f t="shared" si="16"/>
        <v>#DIV/0!</v>
      </c>
      <c r="M74" s="234"/>
      <c r="N74" s="234"/>
      <c r="O74" s="234"/>
      <c r="P74" s="235">
        <f t="shared" si="17"/>
        <v>0</v>
      </c>
      <c r="Q74" s="133" t="e">
        <f t="shared" si="18"/>
        <v>#DIV/0!</v>
      </c>
    </row>
    <row r="75" spans="1:17" s="78" customFormat="1" ht="22.5" customHeight="1" hidden="1">
      <c r="A75" s="77" t="s">
        <v>145</v>
      </c>
      <c r="B75" s="81" t="s">
        <v>144</v>
      </c>
      <c r="C75" s="234">
        <f t="shared" si="19"/>
        <v>0</v>
      </c>
      <c r="D75" s="234">
        <f t="shared" si="19"/>
        <v>0</v>
      </c>
      <c r="E75" s="234">
        <f t="shared" si="20"/>
        <v>0</v>
      </c>
      <c r="F75" s="235">
        <f t="shared" si="13"/>
        <v>0</v>
      </c>
      <c r="G75" s="133" t="e">
        <f t="shared" si="14"/>
        <v>#DIV/0!</v>
      </c>
      <c r="H75" s="236"/>
      <c r="I75" s="236"/>
      <c r="J75" s="236"/>
      <c r="K75" s="235">
        <f t="shared" si="15"/>
        <v>0</v>
      </c>
      <c r="L75" s="133" t="e">
        <f t="shared" si="16"/>
        <v>#DIV/0!</v>
      </c>
      <c r="M75" s="234"/>
      <c r="N75" s="234"/>
      <c r="O75" s="234"/>
      <c r="P75" s="235">
        <f t="shared" si="17"/>
        <v>0</v>
      </c>
      <c r="Q75" s="133" t="e">
        <f t="shared" si="18"/>
        <v>#DIV/0!</v>
      </c>
    </row>
    <row r="76" spans="1:17" s="78" customFormat="1" ht="22.5" customHeight="1" hidden="1">
      <c r="A76" s="77" t="s">
        <v>289</v>
      </c>
      <c r="B76" s="81" t="s">
        <v>288</v>
      </c>
      <c r="C76" s="234">
        <f t="shared" si="19"/>
        <v>0</v>
      </c>
      <c r="D76" s="234">
        <f t="shared" si="19"/>
        <v>0</v>
      </c>
      <c r="E76" s="234">
        <f t="shared" si="20"/>
        <v>0</v>
      </c>
      <c r="F76" s="235">
        <f t="shared" si="13"/>
        <v>0</v>
      </c>
      <c r="G76" s="133" t="e">
        <f t="shared" si="14"/>
        <v>#DIV/0!</v>
      </c>
      <c r="H76" s="236"/>
      <c r="I76" s="236"/>
      <c r="J76" s="236"/>
      <c r="K76" s="235">
        <f t="shared" si="15"/>
        <v>0</v>
      </c>
      <c r="L76" s="133" t="e">
        <f t="shared" si="16"/>
        <v>#DIV/0!</v>
      </c>
      <c r="M76" s="234"/>
      <c r="N76" s="234"/>
      <c r="O76" s="234"/>
      <c r="P76" s="235">
        <f t="shared" si="17"/>
        <v>0</v>
      </c>
      <c r="Q76" s="133" t="e">
        <f t="shared" si="18"/>
        <v>#DIV/0!</v>
      </c>
    </row>
    <row r="77" spans="1:17" s="78" customFormat="1" ht="22.5" customHeight="1" hidden="1">
      <c r="A77" s="77" t="s">
        <v>292</v>
      </c>
      <c r="B77" s="81" t="s">
        <v>291</v>
      </c>
      <c r="C77" s="234">
        <f t="shared" si="19"/>
        <v>0</v>
      </c>
      <c r="D77" s="234">
        <f t="shared" si="19"/>
        <v>0</v>
      </c>
      <c r="E77" s="234">
        <f t="shared" si="20"/>
        <v>0</v>
      </c>
      <c r="F77" s="235">
        <f t="shared" si="13"/>
        <v>0</v>
      </c>
      <c r="G77" s="133" t="e">
        <f t="shared" si="14"/>
        <v>#DIV/0!</v>
      </c>
      <c r="H77" s="236"/>
      <c r="I77" s="236"/>
      <c r="J77" s="236"/>
      <c r="K77" s="235">
        <f t="shared" si="15"/>
        <v>0</v>
      </c>
      <c r="L77" s="133" t="e">
        <f t="shared" si="16"/>
        <v>#DIV/0!</v>
      </c>
      <c r="M77" s="234"/>
      <c r="N77" s="234"/>
      <c r="O77" s="234"/>
      <c r="P77" s="235">
        <f t="shared" si="17"/>
        <v>0</v>
      </c>
      <c r="Q77" s="133" t="e">
        <f t="shared" si="18"/>
        <v>#DIV/0!</v>
      </c>
    </row>
    <row r="78" spans="1:17" s="78" customFormat="1" ht="22.5" customHeight="1">
      <c r="A78" s="77" t="s">
        <v>162</v>
      </c>
      <c r="B78" s="81" t="s">
        <v>161</v>
      </c>
      <c r="C78" s="234">
        <f t="shared" si="19"/>
        <v>483514.7</v>
      </c>
      <c r="D78" s="234">
        <f t="shared" si="19"/>
        <v>386967.7</v>
      </c>
      <c r="E78" s="234">
        <f t="shared" si="20"/>
        <v>383217.7</v>
      </c>
      <c r="F78" s="235">
        <f t="shared" si="13"/>
        <v>-3750</v>
      </c>
      <c r="G78" s="133">
        <f t="shared" si="14"/>
        <v>99.03092687064063</v>
      </c>
      <c r="H78" s="236">
        <v>82000</v>
      </c>
      <c r="I78" s="236">
        <v>6833.3</v>
      </c>
      <c r="J78" s="236">
        <v>6833.3</v>
      </c>
      <c r="K78" s="351">
        <f t="shared" si="15"/>
        <v>0</v>
      </c>
      <c r="L78" s="133">
        <f t="shared" si="16"/>
        <v>100</v>
      </c>
      <c r="M78" s="234">
        <v>401514.7</v>
      </c>
      <c r="N78" s="234">
        <v>380134.4</v>
      </c>
      <c r="O78" s="234">
        <v>376384.4</v>
      </c>
      <c r="P78" s="235">
        <f t="shared" si="17"/>
        <v>-3750</v>
      </c>
      <c r="Q78" s="133">
        <f t="shared" si="18"/>
        <v>99.01350680180484</v>
      </c>
    </row>
    <row r="79" spans="1:17" s="78" customFormat="1" ht="22.5" customHeight="1">
      <c r="A79" s="77" t="s">
        <v>164</v>
      </c>
      <c r="B79" s="81" t="s">
        <v>163</v>
      </c>
      <c r="C79" s="234">
        <f t="shared" si="19"/>
        <v>700000</v>
      </c>
      <c r="D79" s="234">
        <f t="shared" si="19"/>
        <v>1402422</v>
      </c>
      <c r="E79" s="234">
        <f t="shared" si="20"/>
        <v>1014463.392</v>
      </c>
      <c r="F79" s="235">
        <f t="shared" si="13"/>
        <v>-387958.608</v>
      </c>
      <c r="G79" s="133">
        <f t="shared" si="14"/>
        <v>72.33652866255663</v>
      </c>
      <c r="H79" s="236">
        <v>700000</v>
      </c>
      <c r="I79" s="236">
        <v>1402000</v>
      </c>
      <c r="J79" s="236">
        <v>1014109.392</v>
      </c>
      <c r="K79" s="235">
        <f t="shared" si="15"/>
        <v>-387890.608</v>
      </c>
      <c r="L79" s="133">
        <f t="shared" si="16"/>
        <v>72.33305221112695</v>
      </c>
      <c r="M79" s="234"/>
      <c r="N79" s="234">
        <v>422</v>
      </c>
      <c r="O79" s="234">
        <v>354</v>
      </c>
      <c r="P79" s="235">
        <f t="shared" si="17"/>
        <v>-68</v>
      </c>
      <c r="Q79" s="133">
        <f t="shared" si="18"/>
        <v>83.88625592417061</v>
      </c>
    </row>
    <row r="80" spans="1:17" s="78" customFormat="1" ht="22.5" customHeight="1" hidden="1">
      <c r="A80" s="77" t="s">
        <v>462</v>
      </c>
      <c r="B80" s="81" t="s">
        <v>165</v>
      </c>
      <c r="C80" s="234">
        <f t="shared" si="19"/>
        <v>0</v>
      </c>
      <c r="D80" s="234">
        <f t="shared" si="19"/>
        <v>0</v>
      </c>
      <c r="E80" s="234">
        <f t="shared" si="20"/>
        <v>0</v>
      </c>
      <c r="F80" s="235">
        <f t="shared" si="13"/>
        <v>0</v>
      </c>
      <c r="G80" s="133" t="e">
        <f t="shared" si="14"/>
        <v>#DIV/0!</v>
      </c>
      <c r="H80" s="236"/>
      <c r="I80" s="236"/>
      <c r="J80" s="236"/>
      <c r="K80" s="235">
        <f t="shared" si="15"/>
        <v>0</v>
      </c>
      <c r="L80" s="133" t="e">
        <f t="shared" si="16"/>
        <v>#DIV/0!</v>
      </c>
      <c r="M80" s="234"/>
      <c r="N80" s="234"/>
      <c r="O80" s="234"/>
      <c r="P80" s="235">
        <f t="shared" si="17"/>
        <v>0</v>
      </c>
      <c r="Q80" s="133" t="e">
        <f t="shared" si="18"/>
        <v>#DIV/0!</v>
      </c>
    </row>
    <row r="81" spans="1:17" s="78" customFormat="1" ht="22.5" customHeight="1" hidden="1">
      <c r="A81" s="77" t="s">
        <v>294</v>
      </c>
      <c r="B81" s="81" t="s">
        <v>293</v>
      </c>
      <c r="C81" s="234">
        <f t="shared" si="19"/>
        <v>0</v>
      </c>
      <c r="D81" s="234">
        <f t="shared" si="19"/>
        <v>0</v>
      </c>
      <c r="E81" s="234">
        <f t="shared" si="20"/>
        <v>0</v>
      </c>
      <c r="F81" s="235">
        <f t="shared" si="13"/>
        <v>0</v>
      </c>
      <c r="G81" s="133" t="e">
        <f t="shared" si="14"/>
        <v>#DIV/0!</v>
      </c>
      <c r="H81" s="236"/>
      <c r="I81" s="236"/>
      <c r="J81" s="236"/>
      <c r="K81" s="235">
        <f t="shared" si="15"/>
        <v>0</v>
      </c>
      <c r="L81" s="133" t="e">
        <f t="shared" si="16"/>
        <v>#DIV/0!</v>
      </c>
      <c r="M81" s="234"/>
      <c r="N81" s="234"/>
      <c r="O81" s="234"/>
      <c r="P81" s="235">
        <f t="shared" si="17"/>
        <v>0</v>
      </c>
      <c r="Q81" s="133" t="e">
        <f t="shared" si="18"/>
        <v>#DIV/0!</v>
      </c>
    </row>
    <row r="82" spans="1:17" s="78" customFormat="1" ht="22.5" customHeight="1" hidden="1">
      <c r="A82" s="77" t="s">
        <v>147</v>
      </c>
      <c r="B82" s="81" t="s">
        <v>146</v>
      </c>
      <c r="C82" s="234">
        <f t="shared" si="19"/>
        <v>0</v>
      </c>
      <c r="D82" s="234">
        <f t="shared" si="19"/>
        <v>0</v>
      </c>
      <c r="E82" s="234">
        <f t="shared" si="20"/>
        <v>0</v>
      </c>
      <c r="F82" s="235">
        <f t="shared" si="13"/>
        <v>0</v>
      </c>
      <c r="G82" s="133" t="e">
        <f t="shared" si="14"/>
        <v>#DIV/0!</v>
      </c>
      <c r="H82" s="236"/>
      <c r="I82" s="236"/>
      <c r="J82" s="236"/>
      <c r="K82" s="235">
        <f t="shared" si="15"/>
        <v>0</v>
      </c>
      <c r="L82" s="133" t="e">
        <f t="shared" si="16"/>
        <v>#DIV/0!</v>
      </c>
      <c r="M82" s="234"/>
      <c r="N82" s="234"/>
      <c r="O82" s="234"/>
      <c r="P82" s="235">
        <f t="shared" si="17"/>
        <v>0</v>
      </c>
      <c r="Q82" s="133" t="e">
        <f t="shared" si="18"/>
        <v>#DIV/0!</v>
      </c>
    </row>
    <row r="83" spans="1:17" s="78" customFormat="1" ht="22.5" customHeight="1" hidden="1">
      <c r="A83" s="77" t="s">
        <v>296</v>
      </c>
      <c r="B83" s="81" t="s">
        <v>295</v>
      </c>
      <c r="C83" s="234">
        <f t="shared" si="19"/>
        <v>0</v>
      </c>
      <c r="D83" s="234">
        <f t="shared" si="19"/>
        <v>0</v>
      </c>
      <c r="E83" s="234">
        <f t="shared" si="20"/>
        <v>0</v>
      </c>
      <c r="F83" s="235">
        <f t="shared" si="13"/>
        <v>0</v>
      </c>
      <c r="G83" s="133" t="e">
        <f t="shared" si="14"/>
        <v>#DIV/0!</v>
      </c>
      <c r="H83" s="236"/>
      <c r="I83" s="236"/>
      <c r="J83" s="236"/>
      <c r="K83" s="235">
        <f t="shared" si="15"/>
        <v>0</v>
      </c>
      <c r="L83" s="133" t="e">
        <f t="shared" si="16"/>
        <v>#DIV/0!</v>
      </c>
      <c r="M83" s="234"/>
      <c r="N83" s="234"/>
      <c r="O83" s="234"/>
      <c r="P83" s="235">
        <f t="shared" si="17"/>
        <v>0</v>
      </c>
      <c r="Q83" s="133" t="e">
        <f t="shared" si="18"/>
        <v>#DIV/0!</v>
      </c>
    </row>
    <row r="84" spans="1:17" s="78" customFormat="1" ht="22.5" customHeight="1">
      <c r="A84" s="77" t="s">
        <v>149</v>
      </c>
      <c r="B84" s="81" t="s">
        <v>148</v>
      </c>
      <c r="C84" s="234">
        <f t="shared" si="19"/>
        <v>17543</v>
      </c>
      <c r="D84" s="234">
        <f t="shared" si="19"/>
        <v>17879.9</v>
      </c>
      <c r="E84" s="234">
        <f t="shared" si="20"/>
        <v>16228.567</v>
      </c>
      <c r="F84" s="235">
        <f t="shared" si="13"/>
        <v>-1651.3330000000024</v>
      </c>
      <c r="G84" s="133">
        <f t="shared" si="14"/>
        <v>90.76430516949199</v>
      </c>
      <c r="H84" s="236">
        <v>17543</v>
      </c>
      <c r="I84" s="236">
        <v>17879.9</v>
      </c>
      <c r="J84" s="236">
        <v>16228.567</v>
      </c>
      <c r="K84" s="235">
        <f t="shared" si="15"/>
        <v>-1651.3330000000024</v>
      </c>
      <c r="L84" s="133">
        <f t="shared" si="16"/>
        <v>90.76430516949199</v>
      </c>
      <c r="M84" s="234"/>
      <c r="N84" s="234"/>
      <c r="O84" s="234"/>
      <c r="P84" s="351">
        <f t="shared" si="17"/>
        <v>0</v>
      </c>
      <c r="Q84" s="352" t="e">
        <f t="shared" si="18"/>
        <v>#DIV/0!</v>
      </c>
    </row>
    <row r="85" spans="1:17" s="78" customFormat="1" ht="22.5" customHeight="1" hidden="1">
      <c r="A85" s="77" t="s">
        <v>298</v>
      </c>
      <c r="B85" s="81" t="s">
        <v>297</v>
      </c>
      <c r="C85" s="234">
        <f t="shared" si="19"/>
        <v>0</v>
      </c>
      <c r="D85" s="234">
        <f t="shared" si="19"/>
        <v>0</v>
      </c>
      <c r="E85" s="234">
        <f t="shared" si="20"/>
        <v>0</v>
      </c>
      <c r="F85" s="235">
        <f t="shared" si="13"/>
        <v>0</v>
      </c>
      <c r="G85" s="133" t="e">
        <f t="shared" si="14"/>
        <v>#DIV/0!</v>
      </c>
      <c r="H85" s="236"/>
      <c r="I85" s="236"/>
      <c r="J85" s="236"/>
      <c r="K85" s="235">
        <f t="shared" si="15"/>
        <v>0</v>
      </c>
      <c r="L85" s="133" t="e">
        <f t="shared" si="16"/>
        <v>#DIV/0!</v>
      </c>
      <c r="M85" s="234"/>
      <c r="N85" s="234"/>
      <c r="O85" s="234"/>
      <c r="P85" s="351">
        <f t="shared" si="17"/>
        <v>0</v>
      </c>
      <c r="Q85" s="352" t="e">
        <f t="shared" si="18"/>
        <v>#DIV/0!</v>
      </c>
    </row>
    <row r="86" spans="1:17" s="78" customFormat="1" ht="22.5" customHeight="1" hidden="1">
      <c r="A86" s="77" t="s">
        <v>151</v>
      </c>
      <c r="B86" s="81" t="s">
        <v>150</v>
      </c>
      <c r="C86" s="234">
        <f t="shared" si="19"/>
        <v>0</v>
      </c>
      <c r="D86" s="234">
        <f t="shared" si="19"/>
        <v>0</v>
      </c>
      <c r="E86" s="234">
        <f t="shared" si="20"/>
        <v>0</v>
      </c>
      <c r="F86" s="235">
        <f t="shared" si="13"/>
        <v>0</v>
      </c>
      <c r="G86" s="133" t="e">
        <f t="shared" si="14"/>
        <v>#DIV/0!</v>
      </c>
      <c r="H86" s="236"/>
      <c r="I86" s="236"/>
      <c r="J86" s="236"/>
      <c r="K86" s="235">
        <f t="shared" si="15"/>
        <v>0</v>
      </c>
      <c r="L86" s="133" t="e">
        <f t="shared" si="16"/>
        <v>#DIV/0!</v>
      </c>
      <c r="M86" s="234"/>
      <c r="N86" s="234"/>
      <c r="O86" s="234"/>
      <c r="P86" s="351">
        <f t="shared" si="17"/>
        <v>0</v>
      </c>
      <c r="Q86" s="352" t="e">
        <f t="shared" si="18"/>
        <v>#DIV/0!</v>
      </c>
    </row>
    <row r="87" spans="1:17" s="78" customFormat="1" ht="22.5" customHeight="1" hidden="1">
      <c r="A87" s="77" t="s">
        <v>300</v>
      </c>
      <c r="B87" s="81" t="s">
        <v>299</v>
      </c>
      <c r="C87" s="234">
        <f t="shared" si="19"/>
        <v>0</v>
      </c>
      <c r="D87" s="234">
        <f t="shared" si="19"/>
        <v>0</v>
      </c>
      <c r="E87" s="234">
        <f t="shared" si="20"/>
        <v>0</v>
      </c>
      <c r="F87" s="235">
        <f t="shared" si="13"/>
        <v>0</v>
      </c>
      <c r="G87" s="133" t="e">
        <f t="shared" si="14"/>
        <v>#DIV/0!</v>
      </c>
      <c r="H87" s="236"/>
      <c r="I87" s="236"/>
      <c r="J87" s="236"/>
      <c r="K87" s="235">
        <f t="shared" si="15"/>
        <v>0</v>
      </c>
      <c r="L87" s="133" t="e">
        <f t="shared" si="16"/>
        <v>#DIV/0!</v>
      </c>
      <c r="M87" s="234"/>
      <c r="N87" s="234"/>
      <c r="O87" s="234"/>
      <c r="P87" s="351">
        <f t="shared" si="17"/>
        <v>0</v>
      </c>
      <c r="Q87" s="352" t="e">
        <f t="shared" si="18"/>
        <v>#DIV/0!</v>
      </c>
    </row>
    <row r="88" spans="1:17" s="78" customFormat="1" ht="22.5" customHeight="1">
      <c r="A88" s="77" t="s">
        <v>153</v>
      </c>
      <c r="B88" s="81" t="s">
        <v>152</v>
      </c>
      <c r="C88" s="234">
        <f t="shared" si="19"/>
        <v>2187</v>
      </c>
      <c r="D88" s="234">
        <f t="shared" si="19"/>
        <v>4352.7</v>
      </c>
      <c r="E88" s="234">
        <f t="shared" si="20"/>
        <v>4345.699</v>
      </c>
      <c r="F88" s="235">
        <f t="shared" si="13"/>
        <v>-7.001000000000204</v>
      </c>
      <c r="G88" s="133">
        <f t="shared" si="14"/>
        <v>99.83915730466147</v>
      </c>
      <c r="H88" s="236">
        <v>2187</v>
      </c>
      <c r="I88" s="236">
        <v>4352.7</v>
      </c>
      <c r="J88" s="236">
        <v>4345.699</v>
      </c>
      <c r="K88" s="235">
        <f t="shared" si="15"/>
        <v>-7.001000000000204</v>
      </c>
      <c r="L88" s="133">
        <f t="shared" si="16"/>
        <v>99.83915730466147</v>
      </c>
      <c r="M88" s="234"/>
      <c r="N88" s="234"/>
      <c r="O88" s="234"/>
      <c r="P88" s="351">
        <f t="shared" si="17"/>
        <v>0</v>
      </c>
      <c r="Q88" s="352" t="e">
        <f t="shared" si="18"/>
        <v>#DIV/0!</v>
      </c>
    </row>
    <row r="89" spans="1:17" s="78" customFormat="1" ht="22.5" customHeight="1">
      <c r="A89" s="77" t="s">
        <v>155</v>
      </c>
      <c r="B89" s="81" t="s">
        <v>154</v>
      </c>
      <c r="C89" s="234">
        <f t="shared" si="19"/>
        <v>595.4</v>
      </c>
      <c r="D89" s="234">
        <f t="shared" si="19"/>
        <v>15528.7</v>
      </c>
      <c r="E89" s="234">
        <f t="shared" si="20"/>
        <v>15498.074</v>
      </c>
      <c r="F89" s="235">
        <f t="shared" si="13"/>
        <v>-30.626000000000204</v>
      </c>
      <c r="G89" s="133">
        <f t="shared" si="14"/>
        <v>99.80277808187421</v>
      </c>
      <c r="H89" s="236">
        <v>595.4</v>
      </c>
      <c r="I89" s="236">
        <v>15528.7</v>
      </c>
      <c r="J89" s="236">
        <v>15498.074</v>
      </c>
      <c r="K89" s="235">
        <f t="shared" si="15"/>
        <v>-30.626000000000204</v>
      </c>
      <c r="L89" s="133">
        <f t="shared" si="16"/>
        <v>99.80277808187421</v>
      </c>
      <c r="M89" s="234"/>
      <c r="N89" s="234"/>
      <c r="O89" s="234"/>
      <c r="P89" s="351">
        <f t="shared" si="17"/>
        <v>0</v>
      </c>
      <c r="Q89" s="352" t="e">
        <f t="shared" si="18"/>
        <v>#DIV/0!</v>
      </c>
    </row>
    <row r="90" spans="1:17" s="78" customFormat="1" ht="22.5" customHeight="1">
      <c r="A90" s="77" t="s">
        <v>192</v>
      </c>
      <c r="B90" s="81" t="s">
        <v>156</v>
      </c>
      <c r="C90" s="234">
        <f t="shared" si="19"/>
        <v>300.4</v>
      </c>
      <c r="D90" s="234">
        <f t="shared" si="19"/>
        <v>261.5</v>
      </c>
      <c r="E90" s="234">
        <f t="shared" si="20"/>
        <v>235</v>
      </c>
      <c r="F90" s="235">
        <f t="shared" si="13"/>
        <v>-26.5</v>
      </c>
      <c r="G90" s="133">
        <f t="shared" si="14"/>
        <v>89.8661567877629</v>
      </c>
      <c r="H90" s="236">
        <v>300.4</v>
      </c>
      <c r="I90" s="236">
        <v>261.5</v>
      </c>
      <c r="J90" s="236">
        <v>235</v>
      </c>
      <c r="K90" s="235">
        <f t="shared" si="15"/>
        <v>-26.5</v>
      </c>
      <c r="L90" s="133">
        <f t="shared" si="16"/>
        <v>89.8661567877629</v>
      </c>
      <c r="M90" s="234"/>
      <c r="N90" s="234"/>
      <c r="O90" s="234"/>
      <c r="P90" s="351">
        <f t="shared" si="17"/>
        <v>0</v>
      </c>
      <c r="Q90" s="352" t="e">
        <f t="shared" si="18"/>
        <v>#DIV/0!</v>
      </c>
    </row>
    <row r="91" spans="1:17" s="78" customFormat="1" ht="22.5" customHeight="1" hidden="1">
      <c r="A91" s="77" t="s">
        <v>158</v>
      </c>
      <c r="B91" s="81" t="s">
        <v>157</v>
      </c>
      <c r="C91" s="234">
        <f t="shared" si="19"/>
        <v>0</v>
      </c>
      <c r="D91" s="234">
        <f t="shared" si="19"/>
        <v>0</v>
      </c>
      <c r="E91" s="234">
        <f t="shared" si="20"/>
        <v>0</v>
      </c>
      <c r="F91" s="235">
        <f t="shared" si="13"/>
        <v>0</v>
      </c>
      <c r="G91" s="133" t="e">
        <f t="shared" si="14"/>
        <v>#DIV/0!</v>
      </c>
      <c r="H91" s="236"/>
      <c r="I91" s="236"/>
      <c r="J91" s="236"/>
      <c r="K91" s="235">
        <f t="shared" si="15"/>
        <v>0</v>
      </c>
      <c r="L91" s="133" t="e">
        <f t="shared" si="16"/>
        <v>#DIV/0!</v>
      </c>
      <c r="M91" s="234"/>
      <c r="N91" s="234"/>
      <c r="O91" s="234"/>
      <c r="P91" s="235">
        <f t="shared" si="17"/>
        <v>0</v>
      </c>
      <c r="Q91" s="133" t="e">
        <f t="shared" si="18"/>
        <v>#DIV/0!</v>
      </c>
    </row>
    <row r="92" spans="1:17" s="78" customFormat="1" ht="22.5" customHeight="1">
      <c r="A92" s="77" t="s">
        <v>464</v>
      </c>
      <c r="B92" s="81" t="s">
        <v>463</v>
      </c>
      <c r="C92" s="234">
        <f t="shared" si="19"/>
        <v>18.3</v>
      </c>
      <c r="D92" s="234">
        <f t="shared" si="19"/>
        <v>4759.5</v>
      </c>
      <c r="E92" s="234">
        <f t="shared" si="20"/>
        <v>4628.955</v>
      </c>
      <c r="F92" s="235">
        <f t="shared" si="13"/>
        <v>-130.54500000000007</v>
      </c>
      <c r="G92" s="133">
        <f t="shared" si="14"/>
        <v>97.25716987078474</v>
      </c>
      <c r="H92" s="236">
        <v>18.3</v>
      </c>
      <c r="I92" s="236">
        <v>3893.6</v>
      </c>
      <c r="J92" s="236">
        <v>3764.734</v>
      </c>
      <c r="K92" s="235">
        <f t="shared" si="15"/>
        <v>-128.86599999999999</v>
      </c>
      <c r="L92" s="133">
        <f t="shared" si="16"/>
        <v>96.6903123073762</v>
      </c>
      <c r="M92" s="234"/>
      <c r="N92" s="234">
        <v>865.9</v>
      </c>
      <c r="O92" s="234">
        <v>864.221</v>
      </c>
      <c r="P92" s="235">
        <f t="shared" si="17"/>
        <v>-1.6789999999999736</v>
      </c>
      <c r="Q92" s="133">
        <f t="shared" si="18"/>
        <v>99.80609770181314</v>
      </c>
    </row>
    <row r="93" spans="1:17" s="78" customFormat="1" ht="22.5" customHeight="1">
      <c r="A93" s="77" t="s">
        <v>466</v>
      </c>
      <c r="B93" s="81" t="s">
        <v>465</v>
      </c>
      <c r="C93" s="234">
        <f t="shared" si="19"/>
        <v>677563.4</v>
      </c>
      <c r="D93" s="357">
        <f t="shared" si="19"/>
        <v>0</v>
      </c>
      <c r="E93" s="357">
        <f t="shared" si="20"/>
        <v>0</v>
      </c>
      <c r="F93" s="351">
        <f t="shared" si="13"/>
        <v>0</v>
      </c>
      <c r="G93" s="352" t="e">
        <f t="shared" si="14"/>
        <v>#DIV/0!</v>
      </c>
      <c r="H93" s="236">
        <v>677563.4</v>
      </c>
      <c r="I93" s="236"/>
      <c r="J93" s="236"/>
      <c r="K93" s="351">
        <f t="shared" si="15"/>
        <v>0</v>
      </c>
      <c r="L93" s="352" t="e">
        <f t="shared" si="16"/>
        <v>#DIV/0!</v>
      </c>
      <c r="M93" s="234"/>
      <c r="N93" s="234"/>
      <c r="O93" s="234"/>
      <c r="P93" s="351">
        <f t="shared" si="17"/>
        <v>0</v>
      </c>
      <c r="Q93" s="352" t="e">
        <f t="shared" si="18"/>
        <v>#DIV/0!</v>
      </c>
    </row>
    <row r="94" spans="1:17" s="76" customFormat="1" ht="22.5" customHeight="1">
      <c r="A94" s="75" t="s">
        <v>160</v>
      </c>
      <c r="B94" s="80" t="s">
        <v>159</v>
      </c>
      <c r="C94" s="233">
        <f>H94+M94</f>
        <v>389330.3</v>
      </c>
      <c r="D94" s="233">
        <f>I94+N94</f>
        <v>951431.995</v>
      </c>
      <c r="E94" s="233">
        <f>J94+O94</f>
        <v>625018.007</v>
      </c>
      <c r="F94" s="232">
        <f t="shared" si="13"/>
        <v>-326413.988</v>
      </c>
      <c r="G94" s="82">
        <f t="shared" si="14"/>
        <v>65.69234693437022</v>
      </c>
      <c r="H94" s="210">
        <v>388549.7</v>
      </c>
      <c r="I94" s="210">
        <v>945580.291</v>
      </c>
      <c r="J94" s="210">
        <v>619408.692</v>
      </c>
      <c r="K94" s="232">
        <f t="shared" si="15"/>
        <v>-326171.59899999993</v>
      </c>
      <c r="L94" s="82">
        <f t="shared" si="16"/>
        <v>65.50566862438973</v>
      </c>
      <c r="M94" s="233">
        <v>780.6</v>
      </c>
      <c r="N94" s="233">
        <v>5851.704</v>
      </c>
      <c r="O94" s="233">
        <v>5609.315</v>
      </c>
      <c r="P94" s="232">
        <f t="shared" si="17"/>
        <v>-242.38900000000012</v>
      </c>
      <c r="Q94" s="82">
        <f t="shared" si="18"/>
        <v>95.85780483770198</v>
      </c>
    </row>
    <row r="95" spans="1:17" s="78" customFormat="1" ht="22.5" customHeight="1">
      <c r="A95" s="77"/>
      <c r="B95" s="81" t="s">
        <v>159</v>
      </c>
      <c r="C95" s="234"/>
      <c r="D95" s="234"/>
      <c r="E95" s="236"/>
      <c r="F95" s="232"/>
      <c r="G95" s="82"/>
      <c r="H95" s="236"/>
      <c r="I95" s="236"/>
      <c r="J95" s="236"/>
      <c r="K95" s="232"/>
      <c r="L95" s="82"/>
      <c r="M95" s="234"/>
      <c r="N95" s="234"/>
      <c r="O95" s="234"/>
      <c r="P95" s="232"/>
      <c r="Q95" s="82"/>
    </row>
    <row r="96" spans="1:17" s="76" customFormat="1" ht="22.5" customHeight="1">
      <c r="A96" s="75" t="s">
        <v>2</v>
      </c>
      <c r="B96" s="79"/>
      <c r="C96" s="233">
        <f>C97+C139</f>
        <v>790194.7</v>
      </c>
      <c r="D96" s="233">
        <f>D97+D139</f>
        <v>756956.9</v>
      </c>
      <c r="E96" s="233">
        <f>E97+E139</f>
        <v>713410.688</v>
      </c>
      <c r="F96" s="232">
        <f t="shared" si="13"/>
        <v>-43546.21200000006</v>
      </c>
      <c r="G96" s="82">
        <f t="shared" si="14"/>
        <v>94.24720060019268</v>
      </c>
      <c r="H96" s="233">
        <f>H97+H139</f>
        <v>789894.7</v>
      </c>
      <c r="I96" s="233">
        <f>I97+I139</f>
        <v>756656.9</v>
      </c>
      <c r="J96" s="233">
        <f>J97+J139</f>
        <v>713410.688</v>
      </c>
      <c r="K96" s="232">
        <f t="shared" si="15"/>
        <v>-43246.21200000006</v>
      </c>
      <c r="L96" s="82">
        <f t="shared" si="16"/>
        <v>94.28456781402508</v>
      </c>
      <c r="M96" s="233">
        <f>M97+M139</f>
        <v>300</v>
      </c>
      <c r="N96" s="233">
        <f>N97+N139</f>
        <v>300</v>
      </c>
      <c r="O96" s="353">
        <f>O97+O139</f>
        <v>0</v>
      </c>
      <c r="P96" s="232">
        <f t="shared" si="17"/>
        <v>-300</v>
      </c>
      <c r="Q96" s="355">
        <f t="shared" si="18"/>
        <v>0</v>
      </c>
    </row>
    <row r="97" spans="1:17" s="76" customFormat="1" ht="22.5" customHeight="1">
      <c r="A97" s="75" t="s">
        <v>130</v>
      </c>
      <c r="B97" s="80"/>
      <c r="C97" s="233">
        <f>C98+C99+C100+C101+C102+C103+C104+C105+C106+C107+C108+C109+C110+C111+C112+C113+C114+C115+C116+C117+C118+C119+C120+C121+C122+C123+C124+C125+C126+C127+C128+C129+C130+C131+C132+C133+C134+C135+C136+C137+C138</f>
        <v>766494.5</v>
      </c>
      <c r="D97" s="233">
        <f>D98+D99+D100+D101+D102+D103+D104+D105+D106+D107+D108+D109+D110+D111+D112+D113+D114+D115+D116+D117+D118+D119+D120+D121+D122+D123+D124+D125+D126+D127+D128+D129+D130+D131+D132+D133+D134+D135+D136+D137+D138</f>
        <v>680524.2000000001</v>
      </c>
      <c r="E97" s="233">
        <f>E98+E99+E100+E101+E102+E103+E104+E105+E106+E107+E108+E109+E110+E111+E112+E113+E114+E115+E116+E117+E118+E119+E120+E121+E122+E123+E124+E125+E126+E127+E128+E129+E130+E131+E132+E133+E134+E135+E136+E137+E138</f>
        <v>648824.5989999999</v>
      </c>
      <c r="F97" s="232">
        <f t="shared" si="13"/>
        <v>-31699.60100000014</v>
      </c>
      <c r="G97" s="82">
        <f t="shared" si="14"/>
        <v>95.34188482937121</v>
      </c>
      <c r="H97" s="233">
        <f>H98+H99+H100+H101+H102+H103+H104+H105+H106+H107+H108+H109+H110+H111+H112+H113+H114+H115+H116+H117+H118+H119+H120+H121+H122+H123+H124+H125+H126+H127+H128+H129+H130+H131+H132+H133+H134+H135+H136+H137+H138</f>
        <v>766194.5</v>
      </c>
      <c r="I97" s="233">
        <f>I98+I99+I100+I101+I102+I103+I104+I105+I106+I107+I108+I109+I110+I111+I112+I113+I114+I115+I116+I117+I118+I119+I120+I121+I122+I123+I124+I125+I126+I127+I128+I129+I130+I131+I132+I133+I134+I135+I136+I137+I138</f>
        <v>680224.2000000001</v>
      </c>
      <c r="J97" s="233">
        <f>J98+J99+J100+J101+J102+J103+J104+J105+J106+J107+J108+J109+J110+J111+J112+J113+J114+J115+J116+J117+J118+J119+J120+J121+J122+J123+J124+J125+J126+J127+J128+J129+J130+J131+J132+J133+J134+J135+J136+J137+J138</f>
        <v>648824.5989999999</v>
      </c>
      <c r="K97" s="232">
        <f t="shared" si="15"/>
        <v>-31399.60100000014</v>
      </c>
      <c r="L97" s="82">
        <f t="shared" si="16"/>
        <v>95.38393356190501</v>
      </c>
      <c r="M97" s="233">
        <f>M98+M99+M100+M101+M102+M103+M104+M105+M106+M107+M108+M109+M110+M111+M112+M113+M114+M115+M116+M117+M118+M119+M120+M121+M122+M123+M124+M125+M126+M127+M128+M129+M130+M131+M132+M133+M134+M135+M136+M137+M138</f>
        <v>300</v>
      </c>
      <c r="N97" s="233">
        <f>N98+N99+N100+N101+N102+N103+N104+N105+N106+N107+N108+N109+N110+N111+N112+N113+N114+N115+N116+N117+N118+N119+N120+N121+N122+N123+N124+N125+N126+N127+N128+N129+N130+N131+N132+N133+N134+N135+N136+N137+N138</f>
        <v>300</v>
      </c>
      <c r="O97" s="353">
        <f>O98+O99+O100+O101+O102+O103+O104+O105+O106+O107+O108+O109+O110+O111+O112+O113+O114+O115+O116+O117+O118+O119+O120+O121+O122+O123+O124+O125+O126+O127+O128+O129+O130+O131+O132+O133+O134+O135+O136+O137+O138</f>
        <v>0</v>
      </c>
      <c r="P97" s="232">
        <f t="shared" si="17"/>
        <v>-300</v>
      </c>
      <c r="Q97" s="355">
        <f t="shared" si="18"/>
        <v>0</v>
      </c>
    </row>
    <row r="98" spans="1:17" s="78" customFormat="1" ht="22.5" customHeight="1">
      <c r="A98" s="77" t="s">
        <v>132</v>
      </c>
      <c r="B98" s="81" t="s">
        <v>131</v>
      </c>
      <c r="C98" s="234">
        <f>H98+M98</f>
        <v>257246.5</v>
      </c>
      <c r="D98" s="234">
        <f>I98+N98</f>
        <v>289242.8</v>
      </c>
      <c r="E98" s="234">
        <f>J98+O98</f>
        <v>287292.544</v>
      </c>
      <c r="F98" s="235">
        <f t="shared" si="13"/>
        <v>-1950.255999999994</v>
      </c>
      <c r="G98" s="133">
        <f t="shared" si="14"/>
        <v>99.32573740815674</v>
      </c>
      <c r="H98" s="236">
        <v>257246.5</v>
      </c>
      <c r="I98" s="236">
        <v>289242.8</v>
      </c>
      <c r="J98" s="236">
        <v>287292.544</v>
      </c>
      <c r="K98" s="235">
        <f t="shared" si="15"/>
        <v>-1950.255999999994</v>
      </c>
      <c r="L98" s="133">
        <f t="shared" si="16"/>
        <v>99.32573740815674</v>
      </c>
      <c r="M98" s="234"/>
      <c r="N98" s="234"/>
      <c r="O98" s="234"/>
      <c r="P98" s="351">
        <f t="shared" si="17"/>
        <v>0</v>
      </c>
      <c r="Q98" s="352" t="e">
        <f t="shared" si="18"/>
        <v>#DIV/0!</v>
      </c>
    </row>
    <row r="99" spans="1:17" s="78" customFormat="1" ht="22.5" customHeight="1">
      <c r="A99" s="77" t="s">
        <v>134</v>
      </c>
      <c r="B99" s="81" t="s">
        <v>133</v>
      </c>
      <c r="C99" s="234">
        <f aca="true" t="shared" si="21" ref="C99:D138">H99+M99</f>
        <v>43617.7</v>
      </c>
      <c r="D99" s="234">
        <f t="shared" si="21"/>
        <v>49163.5</v>
      </c>
      <c r="E99" s="234">
        <f>J99+O99</f>
        <v>45693.559</v>
      </c>
      <c r="F99" s="235">
        <f t="shared" si="13"/>
        <v>-3469.940999999999</v>
      </c>
      <c r="G99" s="133">
        <f t="shared" si="14"/>
        <v>92.94203830077191</v>
      </c>
      <c r="H99" s="236">
        <v>43617.7</v>
      </c>
      <c r="I99" s="236">
        <v>49163.5</v>
      </c>
      <c r="J99" s="236">
        <v>45693.559</v>
      </c>
      <c r="K99" s="235">
        <f t="shared" si="15"/>
        <v>-3469.940999999999</v>
      </c>
      <c r="L99" s="133">
        <f t="shared" si="16"/>
        <v>92.94203830077191</v>
      </c>
      <c r="M99" s="234"/>
      <c r="N99" s="234"/>
      <c r="O99" s="234"/>
      <c r="P99" s="351">
        <f t="shared" si="17"/>
        <v>0</v>
      </c>
      <c r="Q99" s="352" t="e">
        <f t="shared" si="18"/>
        <v>#DIV/0!</v>
      </c>
    </row>
    <row r="100" spans="1:17" s="78" customFormat="1" ht="22.5" customHeight="1">
      <c r="A100" s="77" t="s">
        <v>136</v>
      </c>
      <c r="B100" s="81" t="s">
        <v>135</v>
      </c>
      <c r="C100" s="234">
        <f t="shared" si="21"/>
        <v>23136.1</v>
      </c>
      <c r="D100" s="234">
        <f t="shared" si="21"/>
        <v>28342.9</v>
      </c>
      <c r="E100" s="234">
        <f>J100+O100</f>
        <v>26709.933</v>
      </c>
      <c r="F100" s="235">
        <f t="shared" si="13"/>
        <v>-1632.9670000000006</v>
      </c>
      <c r="G100" s="133">
        <f t="shared" si="14"/>
        <v>94.2385324014127</v>
      </c>
      <c r="H100" s="236">
        <v>23136.1</v>
      </c>
      <c r="I100" s="236">
        <v>28342.9</v>
      </c>
      <c r="J100" s="236">
        <v>26709.933</v>
      </c>
      <c r="K100" s="235">
        <f t="shared" si="15"/>
        <v>-1632.9670000000006</v>
      </c>
      <c r="L100" s="133">
        <f t="shared" si="16"/>
        <v>94.2385324014127</v>
      </c>
      <c r="M100" s="234"/>
      <c r="N100" s="234"/>
      <c r="O100" s="234"/>
      <c r="P100" s="351">
        <f t="shared" si="17"/>
        <v>0</v>
      </c>
      <c r="Q100" s="352" t="e">
        <f t="shared" si="18"/>
        <v>#DIV/0!</v>
      </c>
    </row>
    <row r="101" spans="1:17" s="78" customFormat="1" ht="22.5" customHeight="1">
      <c r="A101" s="77" t="s">
        <v>443</v>
      </c>
      <c r="B101" s="81" t="s">
        <v>137</v>
      </c>
      <c r="C101" s="234">
        <f t="shared" si="21"/>
        <v>4571.8</v>
      </c>
      <c r="D101" s="234">
        <f t="shared" si="21"/>
        <v>5122.3</v>
      </c>
      <c r="E101" s="234">
        <f>J101+O101</f>
        <v>3812.923</v>
      </c>
      <c r="F101" s="235">
        <f t="shared" si="13"/>
        <v>-1309.3770000000004</v>
      </c>
      <c r="G101" s="133">
        <f t="shared" si="14"/>
        <v>74.43771352712648</v>
      </c>
      <c r="H101" s="234">
        <v>4571.8</v>
      </c>
      <c r="I101" s="234">
        <v>5122.3</v>
      </c>
      <c r="J101" s="234">
        <v>3812.923</v>
      </c>
      <c r="K101" s="235">
        <f t="shared" si="15"/>
        <v>-1309.3770000000004</v>
      </c>
      <c r="L101" s="133">
        <f t="shared" si="16"/>
        <v>74.43771352712648</v>
      </c>
      <c r="M101" s="234"/>
      <c r="N101" s="234"/>
      <c r="O101" s="234"/>
      <c r="P101" s="351">
        <f t="shared" si="17"/>
        <v>0</v>
      </c>
      <c r="Q101" s="352" t="e">
        <f t="shared" si="18"/>
        <v>#DIV/0!</v>
      </c>
    </row>
    <row r="102" spans="1:17" s="78" customFormat="1" ht="22.5" customHeight="1">
      <c r="A102" s="77" t="s">
        <v>9</v>
      </c>
      <c r="B102" s="81" t="s">
        <v>138</v>
      </c>
      <c r="C102" s="234">
        <f t="shared" si="21"/>
        <v>2963.2</v>
      </c>
      <c r="D102" s="234">
        <f t="shared" si="21"/>
        <v>6217.2</v>
      </c>
      <c r="E102" s="234">
        <f aca="true" t="shared" si="22" ref="E102:E138">J102+O102</f>
        <v>5236.009</v>
      </c>
      <c r="F102" s="235">
        <f t="shared" si="13"/>
        <v>-981.1909999999998</v>
      </c>
      <c r="G102" s="133">
        <f t="shared" si="14"/>
        <v>84.21812069742006</v>
      </c>
      <c r="H102" s="236">
        <v>2963.2</v>
      </c>
      <c r="I102" s="236">
        <v>6217.2</v>
      </c>
      <c r="J102" s="236">
        <v>5236.009</v>
      </c>
      <c r="K102" s="235">
        <f t="shared" si="15"/>
        <v>-981.1909999999998</v>
      </c>
      <c r="L102" s="133">
        <f t="shared" si="16"/>
        <v>84.21812069742006</v>
      </c>
      <c r="M102" s="234"/>
      <c r="N102" s="234"/>
      <c r="O102" s="234"/>
      <c r="P102" s="351">
        <f t="shared" si="17"/>
        <v>0</v>
      </c>
      <c r="Q102" s="352" t="e">
        <f t="shared" si="18"/>
        <v>#DIV/0!</v>
      </c>
    </row>
    <row r="103" spans="1:17" s="78" customFormat="1" ht="22.5" customHeight="1">
      <c r="A103" s="77" t="s">
        <v>140</v>
      </c>
      <c r="B103" s="81" t="s">
        <v>139</v>
      </c>
      <c r="C103" s="234">
        <f t="shared" si="21"/>
        <v>21993</v>
      </c>
      <c r="D103" s="234">
        <f t="shared" si="21"/>
        <v>18852.5</v>
      </c>
      <c r="E103" s="234">
        <f t="shared" si="22"/>
        <v>16996.987</v>
      </c>
      <c r="F103" s="235">
        <f t="shared" si="13"/>
        <v>-1855.512999999999</v>
      </c>
      <c r="G103" s="133">
        <f t="shared" si="14"/>
        <v>90.15773504840207</v>
      </c>
      <c r="H103" s="236">
        <v>21993</v>
      </c>
      <c r="I103" s="236">
        <v>18852.5</v>
      </c>
      <c r="J103" s="236">
        <v>16996.987</v>
      </c>
      <c r="K103" s="235">
        <f t="shared" si="15"/>
        <v>-1855.512999999999</v>
      </c>
      <c r="L103" s="133">
        <f t="shared" si="16"/>
        <v>90.15773504840207</v>
      </c>
      <c r="M103" s="234"/>
      <c r="N103" s="234"/>
      <c r="O103" s="234"/>
      <c r="P103" s="351">
        <f t="shared" si="17"/>
        <v>0</v>
      </c>
      <c r="Q103" s="352" t="e">
        <f t="shared" si="18"/>
        <v>#DIV/0!</v>
      </c>
    </row>
    <row r="104" spans="1:17" s="78" customFormat="1" ht="22.5" customHeight="1">
      <c r="A104" s="77" t="s">
        <v>444</v>
      </c>
      <c r="B104" s="81" t="s">
        <v>141</v>
      </c>
      <c r="C104" s="234">
        <f t="shared" si="21"/>
        <v>220000.8</v>
      </c>
      <c r="D104" s="234">
        <f t="shared" si="21"/>
        <v>104707.6</v>
      </c>
      <c r="E104" s="234">
        <f t="shared" si="22"/>
        <v>89167.575</v>
      </c>
      <c r="F104" s="235">
        <f t="shared" si="13"/>
        <v>-15540.025000000009</v>
      </c>
      <c r="G104" s="133">
        <f t="shared" si="14"/>
        <v>85.15864655478684</v>
      </c>
      <c r="H104" s="234">
        <v>219700.8</v>
      </c>
      <c r="I104" s="234">
        <v>104407.6</v>
      </c>
      <c r="J104" s="240">
        <v>89167.575</v>
      </c>
      <c r="K104" s="235">
        <f t="shared" si="15"/>
        <v>-15240.025000000009</v>
      </c>
      <c r="L104" s="133">
        <f t="shared" si="16"/>
        <v>85.40333749650408</v>
      </c>
      <c r="M104" s="234">
        <v>300</v>
      </c>
      <c r="N104" s="234">
        <v>300</v>
      </c>
      <c r="O104" s="234"/>
      <c r="P104" s="235">
        <f t="shared" si="17"/>
        <v>-300</v>
      </c>
      <c r="Q104" s="352">
        <f t="shared" si="18"/>
        <v>0</v>
      </c>
    </row>
    <row r="105" spans="1:17" s="78" customFormat="1" ht="22.5" customHeight="1" hidden="1">
      <c r="A105" s="77" t="s">
        <v>290</v>
      </c>
      <c r="B105" s="81" t="s">
        <v>285</v>
      </c>
      <c r="C105" s="234">
        <f t="shared" si="21"/>
        <v>0</v>
      </c>
      <c r="D105" s="234">
        <f t="shared" si="21"/>
        <v>0</v>
      </c>
      <c r="E105" s="234">
        <f t="shared" si="22"/>
        <v>0</v>
      </c>
      <c r="F105" s="235">
        <f t="shared" si="13"/>
        <v>0</v>
      </c>
      <c r="G105" s="133" t="e">
        <f t="shared" si="14"/>
        <v>#DIV/0!</v>
      </c>
      <c r="H105" s="236"/>
      <c r="I105" s="236"/>
      <c r="J105" s="236"/>
      <c r="K105" s="235">
        <f t="shared" si="15"/>
        <v>0</v>
      </c>
      <c r="L105" s="133" t="e">
        <f t="shared" si="16"/>
        <v>#DIV/0!</v>
      </c>
      <c r="M105" s="234"/>
      <c r="N105" s="234"/>
      <c r="O105" s="234"/>
      <c r="P105" s="235">
        <f t="shared" si="17"/>
        <v>0</v>
      </c>
      <c r="Q105" s="133" t="e">
        <f t="shared" si="18"/>
        <v>#DIV/0!</v>
      </c>
    </row>
    <row r="106" spans="1:17" s="78" customFormat="1" ht="22.5" customHeight="1">
      <c r="A106" s="77" t="s">
        <v>519</v>
      </c>
      <c r="B106" s="81" t="s">
        <v>286</v>
      </c>
      <c r="C106" s="234">
        <f t="shared" si="21"/>
        <v>120020</v>
      </c>
      <c r="D106" s="234">
        <f t="shared" si="21"/>
        <v>114847.4</v>
      </c>
      <c r="E106" s="234">
        <f t="shared" si="22"/>
        <v>113366.545</v>
      </c>
      <c r="F106" s="235">
        <f t="shared" si="13"/>
        <v>-1480.854999999996</v>
      </c>
      <c r="G106" s="133">
        <f t="shared" si="14"/>
        <v>98.71058900767453</v>
      </c>
      <c r="H106" s="236">
        <v>120020</v>
      </c>
      <c r="I106" s="236">
        <v>114847.4</v>
      </c>
      <c r="J106" s="236">
        <v>113366.545</v>
      </c>
      <c r="K106" s="235">
        <f t="shared" si="15"/>
        <v>-1480.854999999996</v>
      </c>
      <c r="L106" s="133">
        <f t="shared" si="16"/>
        <v>98.71058900767453</v>
      </c>
      <c r="M106" s="234"/>
      <c r="N106" s="234"/>
      <c r="O106" s="234"/>
      <c r="P106" s="351">
        <f t="shared" si="17"/>
        <v>0</v>
      </c>
      <c r="Q106" s="352" t="e">
        <f t="shared" si="18"/>
        <v>#DIV/0!</v>
      </c>
    </row>
    <row r="107" spans="1:17" s="78" customFormat="1" ht="22.5" customHeight="1">
      <c r="A107" s="77" t="s">
        <v>169</v>
      </c>
      <c r="B107" s="81" t="s">
        <v>287</v>
      </c>
      <c r="C107" s="234">
        <f t="shared" si="21"/>
        <v>1440.6</v>
      </c>
      <c r="D107" s="234">
        <f t="shared" si="21"/>
        <v>2389.2</v>
      </c>
      <c r="E107" s="234">
        <f t="shared" si="22"/>
        <v>2389.2</v>
      </c>
      <c r="F107" s="351">
        <f t="shared" si="13"/>
        <v>0</v>
      </c>
      <c r="G107" s="133">
        <f t="shared" si="14"/>
        <v>100</v>
      </c>
      <c r="H107" s="236">
        <v>1440.6</v>
      </c>
      <c r="I107" s="236">
        <v>2389.2</v>
      </c>
      <c r="J107" s="236">
        <v>2389.2</v>
      </c>
      <c r="K107" s="351">
        <f t="shared" si="15"/>
        <v>0</v>
      </c>
      <c r="L107" s="133">
        <f t="shared" si="16"/>
        <v>100</v>
      </c>
      <c r="M107" s="234"/>
      <c r="N107" s="234"/>
      <c r="O107" s="234"/>
      <c r="P107" s="351">
        <f t="shared" si="17"/>
        <v>0</v>
      </c>
      <c r="Q107" s="352" t="e">
        <f t="shared" si="18"/>
        <v>#DIV/0!</v>
      </c>
    </row>
    <row r="108" spans="1:17" s="78" customFormat="1" ht="22.5" customHeight="1">
      <c r="A108" s="77" t="s">
        <v>446</v>
      </c>
      <c r="B108" s="81" t="s">
        <v>445</v>
      </c>
      <c r="C108" s="234">
        <f t="shared" si="21"/>
        <v>4854.6</v>
      </c>
      <c r="D108" s="234">
        <f t="shared" si="21"/>
        <v>3439.8</v>
      </c>
      <c r="E108" s="234">
        <f t="shared" si="22"/>
        <v>2307.656</v>
      </c>
      <c r="F108" s="235">
        <f t="shared" si="13"/>
        <v>-1132.1440000000002</v>
      </c>
      <c r="G108" s="133">
        <f t="shared" si="14"/>
        <v>67.08692365835222</v>
      </c>
      <c r="H108" s="236">
        <v>4854.6</v>
      </c>
      <c r="I108" s="236">
        <v>3439.8</v>
      </c>
      <c r="J108" s="236">
        <v>2307.656</v>
      </c>
      <c r="K108" s="235">
        <f t="shared" si="15"/>
        <v>-1132.1440000000002</v>
      </c>
      <c r="L108" s="133">
        <f t="shared" si="16"/>
        <v>67.08692365835222</v>
      </c>
      <c r="M108" s="234"/>
      <c r="N108" s="234"/>
      <c r="O108" s="234"/>
      <c r="P108" s="351">
        <f t="shared" si="17"/>
        <v>0</v>
      </c>
      <c r="Q108" s="352" t="e">
        <f t="shared" si="18"/>
        <v>#DIV/0!</v>
      </c>
    </row>
    <row r="109" spans="1:17" s="78" customFormat="1" ht="22.5" customHeight="1">
      <c r="A109" s="77" t="s">
        <v>448</v>
      </c>
      <c r="B109" s="81" t="s">
        <v>447</v>
      </c>
      <c r="C109" s="234">
        <f t="shared" si="21"/>
        <v>58006</v>
      </c>
      <c r="D109" s="234">
        <f t="shared" si="21"/>
        <v>42796.2</v>
      </c>
      <c r="E109" s="234">
        <f t="shared" si="22"/>
        <v>41786.767</v>
      </c>
      <c r="F109" s="235">
        <f aca="true" t="shared" si="23" ref="F109:F172">E109-D109</f>
        <v>-1009.4329999999973</v>
      </c>
      <c r="G109" s="133">
        <f aca="true" t="shared" si="24" ref="G109:G172">E109/D109*100</f>
        <v>97.64130226515438</v>
      </c>
      <c r="H109" s="236">
        <v>58006</v>
      </c>
      <c r="I109" s="236">
        <v>42796.2</v>
      </c>
      <c r="J109" s="236">
        <v>41786.767</v>
      </c>
      <c r="K109" s="235">
        <f aca="true" t="shared" si="25" ref="K109:K172">J109-I109</f>
        <v>-1009.4329999999973</v>
      </c>
      <c r="L109" s="133">
        <f aca="true" t="shared" si="26" ref="L109:L172">J109/I109*100</f>
        <v>97.64130226515438</v>
      </c>
      <c r="M109" s="234"/>
      <c r="N109" s="234"/>
      <c r="O109" s="234"/>
      <c r="P109" s="351">
        <f aca="true" t="shared" si="27" ref="P109:P172">O109-N109</f>
        <v>0</v>
      </c>
      <c r="Q109" s="352" t="e">
        <f aca="true" t="shared" si="28" ref="Q109:Q172">O109/N109*100</f>
        <v>#DIV/0!</v>
      </c>
    </row>
    <row r="110" spans="1:17" s="78" customFormat="1" ht="22.5" customHeight="1">
      <c r="A110" s="77" t="s">
        <v>170</v>
      </c>
      <c r="B110" s="81" t="s">
        <v>449</v>
      </c>
      <c r="C110" s="234">
        <f t="shared" si="21"/>
        <v>195</v>
      </c>
      <c r="D110" s="234">
        <f t="shared" si="21"/>
        <v>487</v>
      </c>
      <c r="E110" s="234">
        <f t="shared" si="22"/>
        <v>487</v>
      </c>
      <c r="F110" s="351">
        <f t="shared" si="23"/>
        <v>0</v>
      </c>
      <c r="G110" s="133">
        <f t="shared" si="24"/>
        <v>100</v>
      </c>
      <c r="H110" s="236">
        <v>195</v>
      </c>
      <c r="I110" s="236">
        <v>487</v>
      </c>
      <c r="J110" s="236">
        <v>487</v>
      </c>
      <c r="K110" s="351">
        <f t="shared" si="25"/>
        <v>0</v>
      </c>
      <c r="L110" s="133">
        <f t="shared" si="26"/>
        <v>100</v>
      </c>
      <c r="M110" s="234"/>
      <c r="N110" s="234"/>
      <c r="O110" s="234"/>
      <c r="P110" s="351">
        <f t="shared" si="27"/>
        <v>0</v>
      </c>
      <c r="Q110" s="352" t="e">
        <f t="shared" si="28"/>
        <v>#DIV/0!</v>
      </c>
    </row>
    <row r="111" spans="1:17" s="78" customFormat="1" ht="22.5" customHeight="1">
      <c r="A111" s="77" t="s">
        <v>451</v>
      </c>
      <c r="B111" s="81" t="s">
        <v>450</v>
      </c>
      <c r="C111" s="234">
        <f t="shared" si="21"/>
        <v>571.5</v>
      </c>
      <c r="D111" s="234">
        <f t="shared" si="21"/>
        <v>1789.1</v>
      </c>
      <c r="E111" s="234">
        <f t="shared" si="22"/>
        <v>1636.325</v>
      </c>
      <c r="F111" s="235">
        <f t="shared" si="23"/>
        <v>-152.77499999999986</v>
      </c>
      <c r="G111" s="133">
        <f t="shared" si="24"/>
        <v>91.46079034151249</v>
      </c>
      <c r="H111" s="236">
        <v>571.5</v>
      </c>
      <c r="I111" s="236">
        <v>1789.1</v>
      </c>
      <c r="J111" s="236">
        <v>1636.325</v>
      </c>
      <c r="K111" s="235">
        <f t="shared" si="25"/>
        <v>-152.77499999999986</v>
      </c>
      <c r="L111" s="133">
        <f t="shared" si="26"/>
        <v>91.46079034151249</v>
      </c>
      <c r="M111" s="234"/>
      <c r="N111" s="234"/>
      <c r="O111" s="234"/>
      <c r="P111" s="351">
        <f t="shared" si="27"/>
        <v>0</v>
      </c>
      <c r="Q111" s="352" t="e">
        <f t="shared" si="28"/>
        <v>#DIV/0!</v>
      </c>
    </row>
    <row r="112" spans="1:17" s="78" customFormat="1" ht="22.5" customHeight="1">
      <c r="A112" s="77" t="s">
        <v>453</v>
      </c>
      <c r="B112" s="81" t="s">
        <v>452</v>
      </c>
      <c r="C112" s="234">
        <f t="shared" si="21"/>
        <v>444.5</v>
      </c>
      <c r="D112" s="234">
        <f t="shared" si="21"/>
        <v>444.5</v>
      </c>
      <c r="E112" s="234">
        <f t="shared" si="22"/>
        <v>444.5</v>
      </c>
      <c r="F112" s="351">
        <f t="shared" si="23"/>
        <v>0</v>
      </c>
      <c r="G112" s="133">
        <f t="shared" si="24"/>
        <v>100</v>
      </c>
      <c r="H112" s="236">
        <v>444.5</v>
      </c>
      <c r="I112" s="236">
        <v>444.5</v>
      </c>
      <c r="J112" s="236">
        <v>444.5</v>
      </c>
      <c r="K112" s="351">
        <f t="shared" si="25"/>
        <v>0</v>
      </c>
      <c r="L112" s="133">
        <f t="shared" si="26"/>
        <v>100</v>
      </c>
      <c r="M112" s="234"/>
      <c r="N112" s="234"/>
      <c r="O112" s="234"/>
      <c r="P112" s="351">
        <f t="shared" si="27"/>
        <v>0</v>
      </c>
      <c r="Q112" s="352" t="e">
        <f t="shared" si="28"/>
        <v>#DIV/0!</v>
      </c>
    </row>
    <row r="113" spans="1:17" s="78" customFormat="1" ht="22.5" customHeight="1" hidden="1">
      <c r="A113" s="77" t="s">
        <v>455</v>
      </c>
      <c r="B113" s="81" t="s">
        <v>454</v>
      </c>
      <c r="C113" s="234">
        <f t="shared" si="21"/>
        <v>0</v>
      </c>
      <c r="D113" s="234">
        <f t="shared" si="21"/>
        <v>0</v>
      </c>
      <c r="E113" s="234">
        <f t="shared" si="22"/>
        <v>0</v>
      </c>
      <c r="F113" s="235">
        <f t="shared" si="23"/>
        <v>0</v>
      </c>
      <c r="G113" s="133" t="e">
        <f t="shared" si="24"/>
        <v>#DIV/0!</v>
      </c>
      <c r="H113" s="236"/>
      <c r="I113" s="236"/>
      <c r="J113" s="236"/>
      <c r="K113" s="235">
        <f t="shared" si="25"/>
        <v>0</v>
      </c>
      <c r="L113" s="133" t="e">
        <f t="shared" si="26"/>
        <v>#DIV/0!</v>
      </c>
      <c r="M113" s="234"/>
      <c r="N113" s="234"/>
      <c r="O113" s="234"/>
      <c r="P113" s="351">
        <f t="shared" si="27"/>
        <v>0</v>
      </c>
      <c r="Q113" s="352" t="e">
        <f t="shared" si="28"/>
        <v>#DIV/0!</v>
      </c>
    </row>
    <row r="114" spans="1:17" s="78" customFormat="1" ht="22.5" customHeight="1">
      <c r="A114" s="77" t="s">
        <v>543</v>
      </c>
      <c r="B114" s="81" t="s">
        <v>456</v>
      </c>
      <c r="C114" s="234">
        <f t="shared" si="21"/>
        <v>7281.4</v>
      </c>
      <c r="D114" s="234">
        <f t="shared" si="21"/>
        <v>10675.3</v>
      </c>
      <c r="E114" s="234">
        <f t="shared" si="22"/>
        <v>9491.224</v>
      </c>
      <c r="F114" s="235">
        <f t="shared" si="23"/>
        <v>-1184.075999999999</v>
      </c>
      <c r="G114" s="133">
        <f t="shared" si="24"/>
        <v>88.90826487311833</v>
      </c>
      <c r="H114" s="236">
        <v>7281.4</v>
      </c>
      <c r="I114" s="236">
        <v>10675.3</v>
      </c>
      <c r="J114" s="236">
        <v>9491.224</v>
      </c>
      <c r="K114" s="235">
        <f t="shared" si="25"/>
        <v>-1184.075999999999</v>
      </c>
      <c r="L114" s="133">
        <f t="shared" si="26"/>
        <v>88.90826487311833</v>
      </c>
      <c r="M114" s="234"/>
      <c r="N114" s="234"/>
      <c r="O114" s="234"/>
      <c r="P114" s="351">
        <f t="shared" si="27"/>
        <v>0</v>
      </c>
      <c r="Q114" s="352" t="e">
        <f t="shared" si="28"/>
        <v>#DIV/0!</v>
      </c>
    </row>
    <row r="115" spans="1:17" s="78" customFormat="1" ht="22.5" customHeight="1" hidden="1">
      <c r="A115" s="77" t="s">
        <v>167</v>
      </c>
      <c r="B115" s="81" t="s">
        <v>457</v>
      </c>
      <c r="C115" s="234">
        <f t="shared" si="21"/>
        <v>0</v>
      </c>
      <c r="D115" s="234">
        <f t="shared" si="21"/>
        <v>0</v>
      </c>
      <c r="E115" s="234">
        <f t="shared" si="22"/>
        <v>0</v>
      </c>
      <c r="F115" s="235">
        <f t="shared" si="23"/>
        <v>0</v>
      </c>
      <c r="G115" s="133" t="e">
        <f t="shared" si="24"/>
        <v>#DIV/0!</v>
      </c>
      <c r="H115" s="236"/>
      <c r="I115" s="236"/>
      <c r="J115" s="236"/>
      <c r="K115" s="235">
        <f t="shared" si="25"/>
        <v>0</v>
      </c>
      <c r="L115" s="133" t="e">
        <f t="shared" si="26"/>
        <v>#DIV/0!</v>
      </c>
      <c r="M115" s="234"/>
      <c r="N115" s="234"/>
      <c r="O115" s="234"/>
      <c r="P115" s="351">
        <f t="shared" si="27"/>
        <v>0</v>
      </c>
      <c r="Q115" s="352" t="e">
        <f t="shared" si="28"/>
        <v>#DIV/0!</v>
      </c>
    </row>
    <row r="116" spans="1:17" s="78" customFormat="1" ht="22.5" customHeight="1" hidden="1">
      <c r="A116" s="77" t="s">
        <v>168</v>
      </c>
      <c r="B116" s="81" t="s">
        <v>458</v>
      </c>
      <c r="C116" s="234">
        <f t="shared" si="21"/>
        <v>0</v>
      </c>
      <c r="D116" s="234">
        <f t="shared" si="21"/>
        <v>0</v>
      </c>
      <c r="E116" s="234">
        <f t="shared" si="22"/>
        <v>0</v>
      </c>
      <c r="F116" s="235">
        <f t="shared" si="23"/>
        <v>0</v>
      </c>
      <c r="G116" s="133" t="e">
        <f t="shared" si="24"/>
        <v>#DIV/0!</v>
      </c>
      <c r="H116" s="236"/>
      <c r="I116" s="236"/>
      <c r="J116" s="236"/>
      <c r="K116" s="235">
        <f t="shared" si="25"/>
        <v>0</v>
      </c>
      <c r="L116" s="133" t="e">
        <f t="shared" si="26"/>
        <v>#DIV/0!</v>
      </c>
      <c r="M116" s="234"/>
      <c r="N116" s="234"/>
      <c r="O116" s="234"/>
      <c r="P116" s="351">
        <f t="shared" si="27"/>
        <v>0</v>
      </c>
      <c r="Q116" s="352" t="e">
        <f t="shared" si="28"/>
        <v>#DIV/0!</v>
      </c>
    </row>
    <row r="117" spans="1:17" s="78" customFormat="1" ht="22.5" customHeight="1" hidden="1">
      <c r="A117" s="77" t="s">
        <v>24</v>
      </c>
      <c r="B117" s="81" t="s">
        <v>459</v>
      </c>
      <c r="C117" s="234">
        <f t="shared" si="21"/>
        <v>0</v>
      </c>
      <c r="D117" s="234">
        <f t="shared" si="21"/>
        <v>0</v>
      </c>
      <c r="E117" s="234">
        <f t="shared" si="22"/>
        <v>0</v>
      </c>
      <c r="F117" s="235">
        <f t="shared" si="23"/>
        <v>0</v>
      </c>
      <c r="G117" s="133" t="e">
        <f t="shared" si="24"/>
        <v>#DIV/0!</v>
      </c>
      <c r="H117" s="236"/>
      <c r="I117" s="236"/>
      <c r="J117" s="236"/>
      <c r="K117" s="235">
        <f t="shared" si="25"/>
        <v>0</v>
      </c>
      <c r="L117" s="133" t="e">
        <f t="shared" si="26"/>
        <v>#DIV/0!</v>
      </c>
      <c r="M117" s="234"/>
      <c r="N117" s="234"/>
      <c r="O117" s="234"/>
      <c r="P117" s="351">
        <f t="shared" si="27"/>
        <v>0</v>
      </c>
      <c r="Q117" s="352" t="e">
        <f t="shared" si="28"/>
        <v>#DIV/0!</v>
      </c>
    </row>
    <row r="118" spans="1:17" s="78" customFormat="1" ht="22.5" customHeight="1" hidden="1">
      <c r="A118" s="77" t="s">
        <v>461</v>
      </c>
      <c r="B118" s="81" t="s">
        <v>460</v>
      </c>
      <c r="C118" s="234">
        <f t="shared" si="21"/>
        <v>0</v>
      </c>
      <c r="D118" s="234">
        <f t="shared" si="21"/>
        <v>0</v>
      </c>
      <c r="E118" s="234">
        <f t="shared" si="22"/>
        <v>0</v>
      </c>
      <c r="F118" s="235">
        <f t="shared" si="23"/>
        <v>0</v>
      </c>
      <c r="G118" s="133" t="e">
        <f t="shared" si="24"/>
        <v>#DIV/0!</v>
      </c>
      <c r="H118" s="236"/>
      <c r="I118" s="236"/>
      <c r="J118" s="236"/>
      <c r="K118" s="235">
        <f t="shared" si="25"/>
        <v>0</v>
      </c>
      <c r="L118" s="133" t="e">
        <f t="shared" si="26"/>
        <v>#DIV/0!</v>
      </c>
      <c r="M118" s="234"/>
      <c r="N118" s="234"/>
      <c r="O118" s="234"/>
      <c r="P118" s="351">
        <f t="shared" si="27"/>
        <v>0</v>
      </c>
      <c r="Q118" s="352" t="e">
        <f t="shared" si="28"/>
        <v>#DIV/0!</v>
      </c>
    </row>
    <row r="119" spans="1:17" s="78" customFormat="1" ht="22.5" customHeight="1" hidden="1">
      <c r="A119" s="77" t="s">
        <v>143</v>
      </c>
      <c r="B119" s="81" t="s">
        <v>142</v>
      </c>
      <c r="C119" s="234">
        <f t="shared" si="21"/>
        <v>0</v>
      </c>
      <c r="D119" s="234">
        <f t="shared" si="21"/>
        <v>0</v>
      </c>
      <c r="E119" s="234">
        <f t="shared" si="22"/>
        <v>0</v>
      </c>
      <c r="F119" s="235">
        <f t="shared" si="23"/>
        <v>0</v>
      </c>
      <c r="G119" s="133" t="e">
        <f t="shared" si="24"/>
        <v>#DIV/0!</v>
      </c>
      <c r="H119" s="236"/>
      <c r="I119" s="236"/>
      <c r="J119" s="236"/>
      <c r="K119" s="235">
        <f t="shared" si="25"/>
        <v>0</v>
      </c>
      <c r="L119" s="133" t="e">
        <f t="shared" si="26"/>
        <v>#DIV/0!</v>
      </c>
      <c r="M119" s="234"/>
      <c r="N119" s="234"/>
      <c r="O119" s="234"/>
      <c r="P119" s="351">
        <f t="shared" si="27"/>
        <v>0</v>
      </c>
      <c r="Q119" s="352" t="e">
        <f t="shared" si="28"/>
        <v>#DIV/0!</v>
      </c>
    </row>
    <row r="120" spans="1:17" s="78" customFormat="1" ht="22.5" customHeight="1" hidden="1">
      <c r="A120" s="77" t="s">
        <v>145</v>
      </c>
      <c r="B120" s="81" t="s">
        <v>144</v>
      </c>
      <c r="C120" s="234">
        <f t="shared" si="21"/>
        <v>0</v>
      </c>
      <c r="D120" s="234">
        <f t="shared" si="21"/>
        <v>0</v>
      </c>
      <c r="E120" s="234">
        <f t="shared" si="22"/>
        <v>0</v>
      </c>
      <c r="F120" s="235">
        <f t="shared" si="23"/>
        <v>0</v>
      </c>
      <c r="G120" s="133" t="e">
        <f t="shared" si="24"/>
        <v>#DIV/0!</v>
      </c>
      <c r="H120" s="236"/>
      <c r="I120" s="236"/>
      <c r="J120" s="236"/>
      <c r="K120" s="235">
        <f t="shared" si="25"/>
        <v>0</v>
      </c>
      <c r="L120" s="133" t="e">
        <f t="shared" si="26"/>
        <v>#DIV/0!</v>
      </c>
      <c r="M120" s="234"/>
      <c r="N120" s="234"/>
      <c r="O120" s="234"/>
      <c r="P120" s="351">
        <f t="shared" si="27"/>
        <v>0</v>
      </c>
      <c r="Q120" s="352" t="e">
        <f t="shared" si="28"/>
        <v>#DIV/0!</v>
      </c>
    </row>
    <row r="121" spans="1:17" s="78" customFormat="1" ht="22.5" customHeight="1" hidden="1">
      <c r="A121" s="77" t="s">
        <v>289</v>
      </c>
      <c r="B121" s="81" t="s">
        <v>288</v>
      </c>
      <c r="C121" s="234">
        <f t="shared" si="21"/>
        <v>0</v>
      </c>
      <c r="D121" s="234">
        <f t="shared" si="21"/>
        <v>0</v>
      </c>
      <c r="E121" s="234">
        <f t="shared" si="22"/>
        <v>0</v>
      </c>
      <c r="F121" s="235">
        <f t="shared" si="23"/>
        <v>0</v>
      </c>
      <c r="G121" s="133" t="e">
        <f t="shared" si="24"/>
        <v>#DIV/0!</v>
      </c>
      <c r="H121" s="236"/>
      <c r="I121" s="236"/>
      <c r="J121" s="236"/>
      <c r="K121" s="235">
        <f t="shared" si="25"/>
        <v>0</v>
      </c>
      <c r="L121" s="133" t="e">
        <f t="shared" si="26"/>
        <v>#DIV/0!</v>
      </c>
      <c r="M121" s="234"/>
      <c r="N121" s="234"/>
      <c r="O121" s="234"/>
      <c r="P121" s="351">
        <f t="shared" si="27"/>
        <v>0</v>
      </c>
      <c r="Q121" s="352" t="e">
        <f t="shared" si="28"/>
        <v>#DIV/0!</v>
      </c>
    </row>
    <row r="122" spans="1:17" s="78" customFormat="1" ht="22.5" customHeight="1" hidden="1">
      <c r="A122" s="77" t="s">
        <v>292</v>
      </c>
      <c r="B122" s="81" t="s">
        <v>291</v>
      </c>
      <c r="C122" s="234">
        <f t="shared" si="21"/>
        <v>0</v>
      </c>
      <c r="D122" s="234">
        <f t="shared" si="21"/>
        <v>0</v>
      </c>
      <c r="E122" s="234">
        <f t="shared" si="22"/>
        <v>0</v>
      </c>
      <c r="F122" s="235">
        <f t="shared" si="23"/>
        <v>0</v>
      </c>
      <c r="G122" s="133" t="e">
        <f t="shared" si="24"/>
        <v>#DIV/0!</v>
      </c>
      <c r="H122" s="236"/>
      <c r="I122" s="236"/>
      <c r="J122" s="236"/>
      <c r="K122" s="235">
        <f t="shared" si="25"/>
        <v>0</v>
      </c>
      <c r="L122" s="133" t="e">
        <f t="shared" si="26"/>
        <v>#DIV/0!</v>
      </c>
      <c r="M122" s="234"/>
      <c r="N122" s="234"/>
      <c r="O122" s="234"/>
      <c r="P122" s="351">
        <f t="shared" si="27"/>
        <v>0</v>
      </c>
      <c r="Q122" s="352" t="e">
        <f t="shared" si="28"/>
        <v>#DIV/0!</v>
      </c>
    </row>
    <row r="123" spans="1:17" s="78" customFormat="1" ht="22.5" customHeight="1" hidden="1">
      <c r="A123" s="77" t="s">
        <v>162</v>
      </c>
      <c r="B123" s="81" t="s">
        <v>161</v>
      </c>
      <c r="C123" s="234">
        <f t="shared" si="21"/>
        <v>0</v>
      </c>
      <c r="D123" s="234">
        <f t="shared" si="21"/>
        <v>0</v>
      </c>
      <c r="E123" s="234">
        <f t="shared" si="22"/>
        <v>0</v>
      </c>
      <c r="F123" s="235">
        <f t="shared" si="23"/>
        <v>0</v>
      </c>
      <c r="G123" s="133" t="e">
        <f t="shared" si="24"/>
        <v>#DIV/0!</v>
      </c>
      <c r="H123" s="236"/>
      <c r="I123" s="236"/>
      <c r="J123" s="236"/>
      <c r="K123" s="235">
        <f t="shared" si="25"/>
        <v>0</v>
      </c>
      <c r="L123" s="133" t="e">
        <f t="shared" si="26"/>
        <v>#DIV/0!</v>
      </c>
      <c r="M123" s="234"/>
      <c r="N123" s="234"/>
      <c r="O123" s="234"/>
      <c r="P123" s="351">
        <f t="shared" si="27"/>
        <v>0</v>
      </c>
      <c r="Q123" s="352" t="e">
        <f t="shared" si="28"/>
        <v>#DIV/0!</v>
      </c>
    </row>
    <row r="124" spans="1:17" s="78" customFormat="1" ht="22.5" customHeight="1" hidden="1">
      <c r="A124" s="77" t="s">
        <v>164</v>
      </c>
      <c r="B124" s="81" t="s">
        <v>163</v>
      </c>
      <c r="C124" s="234">
        <f t="shared" si="21"/>
        <v>0</v>
      </c>
      <c r="D124" s="234">
        <f t="shared" si="21"/>
        <v>0</v>
      </c>
      <c r="E124" s="234">
        <f t="shared" si="22"/>
        <v>0</v>
      </c>
      <c r="F124" s="235">
        <f t="shared" si="23"/>
        <v>0</v>
      </c>
      <c r="G124" s="133" t="e">
        <f t="shared" si="24"/>
        <v>#DIV/0!</v>
      </c>
      <c r="H124" s="236"/>
      <c r="I124" s="236"/>
      <c r="J124" s="236"/>
      <c r="K124" s="235">
        <f t="shared" si="25"/>
        <v>0</v>
      </c>
      <c r="L124" s="133" t="e">
        <f t="shared" si="26"/>
        <v>#DIV/0!</v>
      </c>
      <c r="M124" s="234"/>
      <c r="N124" s="234"/>
      <c r="O124" s="234"/>
      <c r="P124" s="351">
        <f t="shared" si="27"/>
        <v>0</v>
      </c>
      <c r="Q124" s="352" t="e">
        <f t="shared" si="28"/>
        <v>#DIV/0!</v>
      </c>
    </row>
    <row r="125" spans="1:17" s="78" customFormat="1" ht="22.5" customHeight="1" hidden="1">
      <c r="A125" s="77" t="s">
        <v>462</v>
      </c>
      <c r="B125" s="81" t="s">
        <v>165</v>
      </c>
      <c r="C125" s="234">
        <f t="shared" si="21"/>
        <v>0</v>
      </c>
      <c r="D125" s="234">
        <f t="shared" si="21"/>
        <v>0</v>
      </c>
      <c r="E125" s="234">
        <f t="shared" si="22"/>
        <v>0</v>
      </c>
      <c r="F125" s="235">
        <f t="shared" si="23"/>
        <v>0</v>
      </c>
      <c r="G125" s="133" t="e">
        <f t="shared" si="24"/>
        <v>#DIV/0!</v>
      </c>
      <c r="H125" s="236"/>
      <c r="I125" s="236"/>
      <c r="J125" s="236"/>
      <c r="K125" s="235">
        <f t="shared" si="25"/>
        <v>0</v>
      </c>
      <c r="L125" s="133" t="e">
        <f t="shared" si="26"/>
        <v>#DIV/0!</v>
      </c>
      <c r="M125" s="234"/>
      <c r="N125" s="234"/>
      <c r="O125" s="234"/>
      <c r="P125" s="351">
        <f t="shared" si="27"/>
        <v>0</v>
      </c>
      <c r="Q125" s="352" t="e">
        <f t="shared" si="28"/>
        <v>#DIV/0!</v>
      </c>
    </row>
    <row r="126" spans="1:17" s="78" customFormat="1" ht="22.5" customHeight="1" hidden="1">
      <c r="A126" s="77" t="s">
        <v>294</v>
      </c>
      <c r="B126" s="81" t="s">
        <v>293</v>
      </c>
      <c r="C126" s="234">
        <f t="shared" si="21"/>
        <v>0</v>
      </c>
      <c r="D126" s="234">
        <f t="shared" si="21"/>
        <v>0</v>
      </c>
      <c r="E126" s="234">
        <f t="shared" si="22"/>
        <v>0</v>
      </c>
      <c r="F126" s="235">
        <f t="shared" si="23"/>
        <v>0</v>
      </c>
      <c r="G126" s="133" t="e">
        <f t="shared" si="24"/>
        <v>#DIV/0!</v>
      </c>
      <c r="H126" s="236"/>
      <c r="I126" s="236"/>
      <c r="J126" s="236"/>
      <c r="K126" s="235">
        <f t="shared" si="25"/>
        <v>0</v>
      </c>
      <c r="L126" s="133" t="e">
        <f t="shared" si="26"/>
        <v>#DIV/0!</v>
      </c>
      <c r="M126" s="234"/>
      <c r="N126" s="234"/>
      <c r="O126" s="234"/>
      <c r="P126" s="351">
        <f t="shared" si="27"/>
        <v>0</v>
      </c>
      <c r="Q126" s="352" t="e">
        <f t="shared" si="28"/>
        <v>#DIV/0!</v>
      </c>
    </row>
    <row r="127" spans="1:17" s="78" customFormat="1" ht="22.5" customHeight="1" hidden="1">
      <c r="A127" s="77" t="s">
        <v>147</v>
      </c>
      <c r="B127" s="81" t="s">
        <v>146</v>
      </c>
      <c r="C127" s="234">
        <f t="shared" si="21"/>
        <v>0</v>
      </c>
      <c r="D127" s="234">
        <f t="shared" si="21"/>
        <v>0</v>
      </c>
      <c r="E127" s="234">
        <f t="shared" si="22"/>
        <v>0</v>
      </c>
      <c r="F127" s="235">
        <f t="shared" si="23"/>
        <v>0</v>
      </c>
      <c r="G127" s="133" t="e">
        <f t="shared" si="24"/>
        <v>#DIV/0!</v>
      </c>
      <c r="H127" s="236"/>
      <c r="I127" s="236"/>
      <c r="J127" s="236"/>
      <c r="K127" s="235">
        <f t="shared" si="25"/>
        <v>0</v>
      </c>
      <c r="L127" s="133" t="e">
        <f t="shared" si="26"/>
        <v>#DIV/0!</v>
      </c>
      <c r="M127" s="234"/>
      <c r="N127" s="234"/>
      <c r="O127" s="234"/>
      <c r="P127" s="351">
        <f t="shared" si="27"/>
        <v>0</v>
      </c>
      <c r="Q127" s="352" t="e">
        <f t="shared" si="28"/>
        <v>#DIV/0!</v>
      </c>
    </row>
    <row r="128" spans="1:17" s="78" customFormat="1" ht="22.5" customHeight="1" hidden="1">
      <c r="A128" s="77" t="s">
        <v>296</v>
      </c>
      <c r="B128" s="81" t="s">
        <v>295</v>
      </c>
      <c r="C128" s="234">
        <f t="shared" si="21"/>
        <v>0</v>
      </c>
      <c r="D128" s="234">
        <f t="shared" si="21"/>
        <v>0</v>
      </c>
      <c r="E128" s="234">
        <f t="shared" si="22"/>
        <v>0</v>
      </c>
      <c r="F128" s="235">
        <f t="shared" si="23"/>
        <v>0</v>
      </c>
      <c r="G128" s="133" t="e">
        <f t="shared" si="24"/>
        <v>#DIV/0!</v>
      </c>
      <c r="H128" s="236"/>
      <c r="I128" s="236"/>
      <c r="J128" s="236"/>
      <c r="K128" s="235">
        <f t="shared" si="25"/>
        <v>0</v>
      </c>
      <c r="L128" s="133" t="e">
        <f t="shared" si="26"/>
        <v>#DIV/0!</v>
      </c>
      <c r="M128" s="234"/>
      <c r="N128" s="234"/>
      <c r="O128" s="234"/>
      <c r="P128" s="351">
        <f t="shared" si="27"/>
        <v>0</v>
      </c>
      <c r="Q128" s="352" t="e">
        <f t="shared" si="28"/>
        <v>#DIV/0!</v>
      </c>
    </row>
    <row r="129" spans="1:17" s="78" customFormat="1" ht="22.5" customHeight="1" hidden="1">
      <c r="A129" s="77" t="s">
        <v>149</v>
      </c>
      <c r="B129" s="81" t="s">
        <v>148</v>
      </c>
      <c r="C129" s="234">
        <f t="shared" si="21"/>
        <v>0</v>
      </c>
      <c r="D129" s="234">
        <f t="shared" si="21"/>
        <v>0</v>
      </c>
      <c r="E129" s="234">
        <f t="shared" si="22"/>
        <v>0</v>
      </c>
      <c r="F129" s="235">
        <f t="shared" si="23"/>
        <v>0</v>
      </c>
      <c r="G129" s="133" t="e">
        <f t="shared" si="24"/>
        <v>#DIV/0!</v>
      </c>
      <c r="H129" s="236"/>
      <c r="I129" s="236"/>
      <c r="J129" s="236"/>
      <c r="K129" s="235">
        <f t="shared" si="25"/>
        <v>0</v>
      </c>
      <c r="L129" s="133" t="e">
        <f t="shared" si="26"/>
        <v>#DIV/0!</v>
      </c>
      <c r="M129" s="234"/>
      <c r="N129" s="234"/>
      <c r="O129" s="234"/>
      <c r="P129" s="351">
        <f t="shared" si="27"/>
        <v>0</v>
      </c>
      <c r="Q129" s="352" t="e">
        <f t="shared" si="28"/>
        <v>#DIV/0!</v>
      </c>
    </row>
    <row r="130" spans="1:17" s="78" customFormat="1" ht="22.5" customHeight="1" hidden="1">
      <c r="A130" s="77" t="s">
        <v>298</v>
      </c>
      <c r="B130" s="81" t="s">
        <v>297</v>
      </c>
      <c r="C130" s="234">
        <f t="shared" si="21"/>
        <v>0</v>
      </c>
      <c r="D130" s="234">
        <f t="shared" si="21"/>
        <v>0</v>
      </c>
      <c r="E130" s="234">
        <f t="shared" si="22"/>
        <v>0</v>
      </c>
      <c r="F130" s="235">
        <f t="shared" si="23"/>
        <v>0</v>
      </c>
      <c r="G130" s="133" t="e">
        <f t="shared" si="24"/>
        <v>#DIV/0!</v>
      </c>
      <c r="H130" s="236"/>
      <c r="I130" s="236"/>
      <c r="J130" s="236"/>
      <c r="K130" s="235">
        <f t="shared" si="25"/>
        <v>0</v>
      </c>
      <c r="L130" s="133" t="e">
        <f t="shared" si="26"/>
        <v>#DIV/0!</v>
      </c>
      <c r="M130" s="234"/>
      <c r="N130" s="234"/>
      <c r="O130" s="234"/>
      <c r="P130" s="351">
        <f t="shared" si="27"/>
        <v>0</v>
      </c>
      <c r="Q130" s="352" t="e">
        <f t="shared" si="28"/>
        <v>#DIV/0!</v>
      </c>
    </row>
    <row r="131" spans="1:17" s="78" customFormat="1" ht="22.5" customHeight="1" hidden="1">
      <c r="A131" s="77" t="s">
        <v>151</v>
      </c>
      <c r="B131" s="81" t="s">
        <v>150</v>
      </c>
      <c r="C131" s="234">
        <f t="shared" si="21"/>
        <v>0</v>
      </c>
      <c r="D131" s="234">
        <f t="shared" si="21"/>
        <v>0</v>
      </c>
      <c r="E131" s="234">
        <f t="shared" si="22"/>
        <v>0</v>
      </c>
      <c r="F131" s="235">
        <f t="shared" si="23"/>
        <v>0</v>
      </c>
      <c r="G131" s="133" t="e">
        <f t="shared" si="24"/>
        <v>#DIV/0!</v>
      </c>
      <c r="H131" s="236"/>
      <c r="I131" s="236"/>
      <c r="J131" s="236"/>
      <c r="K131" s="235">
        <f t="shared" si="25"/>
        <v>0</v>
      </c>
      <c r="L131" s="133" t="e">
        <f t="shared" si="26"/>
        <v>#DIV/0!</v>
      </c>
      <c r="M131" s="234"/>
      <c r="N131" s="234"/>
      <c r="O131" s="234"/>
      <c r="P131" s="351">
        <f t="shared" si="27"/>
        <v>0</v>
      </c>
      <c r="Q131" s="352" t="e">
        <f t="shared" si="28"/>
        <v>#DIV/0!</v>
      </c>
    </row>
    <row r="132" spans="1:17" s="78" customFormat="1" ht="22.5" customHeight="1" hidden="1">
      <c r="A132" s="77" t="s">
        <v>300</v>
      </c>
      <c r="B132" s="81" t="s">
        <v>299</v>
      </c>
      <c r="C132" s="234">
        <f t="shared" si="21"/>
        <v>0</v>
      </c>
      <c r="D132" s="234">
        <f t="shared" si="21"/>
        <v>0</v>
      </c>
      <c r="E132" s="234">
        <f t="shared" si="22"/>
        <v>0</v>
      </c>
      <c r="F132" s="235">
        <f t="shared" si="23"/>
        <v>0</v>
      </c>
      <c r="G132" s="133" t="e">
        <f t="shared" si="24"/>
        <v>#DIV/0!</v>
      </c>
      <c r="H132" s="236"/>
      <c r="I132" s="236"/>
      <c r="J132" s="236"/>
      <c r="K132" s="235">
        <f t="shared" si="25"/>
        <v>0</v>
      </c>
      <c r="L132" s="133" t="e">
        <f t="shared" si="26"/>
        <v>#DIV/0!</v>
      </c>
      <c r="M132" s="234"/>
      <c r="N132" s="234"/>
      <c r="O132" s="234"/>
      <c r="P132" s="351">
        <f t="shared" si="27"/>
        <v>0</v>
      </c>
      <c r="Q132" s="352" t="e">
        <f t="shared" si="28"/>
        <v>#DIV/0!</v>
      </c>
    </row>
    <row r="133" spans="1:17" s="78" customFormat="1" ht="22.5" customHeight="1">
      <c r="A133" s="77" t="s">
        <v>153</v>
      </c>
      <c r="B133" s="81" t="s">
        <v>152</v>
      </c>
      <c r="C133" s="234">
        <f t="shared" si="21"/>
        <v>151.8</v>
      </c>
      <c r="D133" s="234">
        <f t="shared" si="21"/>
        <v>450.9</v>
      </c>
      <c r="E133" s="234">
        <f t="shared" si="22"/>
        <v>449.852</v>
      </c>
      <c r="F133" s="235">
        <f t="shared" si="23"/>
        <v>-1.0480000000000018</v>
      </c>
      <c r="G133" s="133">
        <f t="shared" si="24"/>
        <v>99.76757595919273</v>
      </c>
      <c r="H133" s="236">
        <v>151.8</v>
      </c>
      <c r="I133" s="236">
        <v>450.9</v>
      </c>
      <c r="J133" s="236">
        <v>449.852</v>
      </c>
      <c r="K133" s="235">
        <f t="shared" si="25"/>
        <v>-1.0480000000000018</v>
      </c>
      <c r="L133" s="133">
        <f t="shared" si="26"/>
        <v>99.76757595919273</v>
      </c>
      <c r="M133" s="234"/>
      <c r="N133" s="234"/>
      <c r="O133" s="234"/>
      <c r="P133" s="351">
        <f t="shared" si="27"/>
        <v>0</v>
      </c>
      <c r="Q133" s="352" t="e">
        <f t="shared" si="28"/>
        <v>#DIV/0!</v>
      </c>
    </row>
    <row r="134" spans="1:17" s="78" customFormat="1" ht="22.5" customHeight="1" hidden="1">
      <c r="A134" s="77" t="s">
        <v>155</v>
      </c>
      <c r="B134" s="81" t="s">
        <v>154</v>
      </c>
      <c r="C134" s="234">
        <f t="shared" si="21"/>
        <v>0</v>
      </c>
      <c r="D134" s="234">
        <f t="shared" si="21"/>
        <v>0</v>
      </c>
      <c r="E134" s="234">
        <f t="shared" si="22"/>
        <v>0</v>
      </c>
      <c r="F134" s="235">
        <f t="shared" si="23"/>
        <v>0</v>
      </c>
      <c r="G134" s="133" t="e">
        <f t="shared" si="24"/>
        <v>#DIV/0!</v>
      </c>
      <c r="H134" s="236"/>
      <c r="I134" s="236"/>
      <c r="J134" s="236"/>
      <c r="K134" s="235">
        <f t="shared" si="25"/>
        <v>0</v>
      </c>
      <c r="L134" s="133" t="e">
        <f t="shared" si="26"/>
        <v>#DIV/0!</v>
      </c>
      <c r="M134" s="234"/>
      <c r="N134" s="234"/>
      <c r="O134" s="234"/>
      <c r="P134" s="351">
        <f t="shared" si="27"/>
        <v>0</v>
      </c>
      <c r="Q134" s="352" t="e">
        <f t="shared" si="28"/>
        <v>#DIV/0!</v>
      </c>
    </row>
    <row r="135" spans="1:17" s="78" customFormat="1" ht="22.5" customHeight="1" hidden="1">
      <c r="A135" s="77" t="s">
        <v>192</v>
      </c>
      <c r="B135" s="81" t="s">
        <v>156</v>
      </c>
      <c r="C135" s="234">
        <f t="shared" si="21"/>
        <v>0</v>
      </c>
      <c r="D135" s="234">
        <f t="shared" si="21"/>
        <v>0</v>
      </c>
      <c r="E135" s="234">
        <f t="shared" si="22"/>
        <v>0</v>
      </c>
      <c r="F135" s="235">
        <f t="shared" si="23"/>
        <v>0</v>
      </c>
      <c r="G135" s="133" t="e">
        <f t="shared" si="24"/>
        <v>#DIV/0!</v>
      </c>
      <c r="H135" s="236"/>
      <c r="I135" s="236"/>
      <c r="J135" s="236"/>
      <c r="K135" s="235">
        <f t="shared" si="25"/>
        <v>0</v>
      </c>
      <c r="L135" s="133" t="e">
        <f t="shared" si="26"/>
        <v>#DIV/0!</v>
      </c>
      <c r="M135" s="234"/>
      <c r="N135" s="234"/>
      <c r="O135" s="234"/>
      <c r="P135" s="351">
        <f t="shared" si="27"/>
        <v>0</v>
      </c>
      <c r="Q135" s="352" t="e">
        <f t="shared" si="28"/>
        <v>#DIV/0!</v>
      </c>
    </row>
    <row r="136" spans="1:17" s="78" customFormat="1" ht="22.5" customHeight="1" hidden="1">
      <c r="A136" s="77" t="s">
        <v>158</v>
      </c>
      <c r="B136" s="81" t="s">
        <v>157</v>
      </c>
      <c r="C136" s="234">
        <f t="shared" si="21"/>
        <v>0</v>
      </c>
      <c r="D136" s="234">
        <f t="shared" si="21"/>
        <v>0</v>
      </c>
      <c r="E136" s="234">
        <f t="shared" si="22"/>
        <v>0</v>
      </c>
      <c r="F136" s="235">
        <f t="shared" si="23"/>
        <v>0</v>
      </c>
      <c r="G136" s="133" t="e">
        <f t="shared" si="24"/>
        <v>#DIV/0!</v>
      </c>
      <c r="H136" s="236"/>
      <c r="I136" s="236"/>
      <c r="J136" s="236"/>
      <c r="K136" s="235">
        <f t="shared" si="25"/>
        <v>0</v>
      </c>
      <c r="L136" s="133" t="e">
        <f t="shared" si="26"/>
        <v>#DIV/0!</v>
      </c>
      <c r="M136" s="234"/>
      <c r="N136" s="234"/>
      <c r="O136" s="234"/>
      <c r="P136" s="351">
        <f t="shared" si="27"/>
        <v>0</v>
      </c>
      <c r="Q136" s="352" t="e">
        <f t="shared" si="28"/>
        <v>#DIV/0!</v>
      </c>
    </row>
    <row r="137" spans="1:17" s="78" customFormat="1" ht="22.5" customHeight="1">
      <c r="A137" s="77" t="s">
        <v>464</v>
      </c>
      <c r="B137" s="81" t="s">
        <v>463</v>
      </c>
      <c r="C137" s="234">
        <f t="shared" si="21"/>
        <v>0</v>
      </c>
      <c r="D137" s="234">
        <f t="shared" si="21"/>
        <v>1556</v>
      </c>
      <c r="E137" s="234">
        <f t="shared" si="22"/>
        <v>1556</v>
      </c>
      <c r="F137" s="351">
        <f t="shared" si="23"/>
        <v>0</v>
      </c>
      <c r="G137" s="133">
        <f t="shared" si="24"/>
        <v>100</v>
      </c>
      <c r="H137" s="236"/>
      <c r="I137" s="236">
        <v>1556</v>
      </c>
      <c r="J137" s="236">
        <v>1556</v>
      </c>
      <c r="K137" s="351">
        <f t="shared" si="25"/>
        <v>0</v>
      </c>
      <c r="L137" s="133">
        <f t="shared" si="26"/>
        <v>100</v>
      </c>
      <c r="M137" s="234"/>
      <c r="N137" s="234"/>
      <c r="O137" s="234"/>
      <c r="P137" s="351">
        <f t="shared" si="27"/>
        <v>0</v>
      </c>
      <c r="Q137" s="352" t="e">
        <f t="shared" si="28"/>
        <v>#DIV/0!</v>
      </c>
    </row>
    <row r="138" spans="1:17" s="78" customFormat="1" ht="22.5" customHeight="1" hidden="1">
      <c r="A138" s="77" t="s">
        <v>466</v>
      </c>
      <c r="B138" s="81" t="s">
        <v>465</v>
      </c>
      <c r="C138" s="234">
        <f t="shared" si="21"/>
        <v>0</v>
      </c>
      <c r="D138" s="234">
        <f t="shared" si="21"/>
        <v>0</v>
      </c>
      <c r="E138" s="234">
        <f t="shared" si="22"/>
        <v>0</v>
      </c>
      <c r="F138" s="235">
        <f t="shared" si="23"/>
        <v>0</v>
      </c>
      <c r="G138" s="133" t="e">
        <f t="shared" si="24"/>
        <v>#DIV/0!</v>
      </c>
      <c r="H138" s="236"/>
      <c r="I138" s="236"/>
      <c r="J138" s="236"/>
      <c r="K138" s="235">
        <f t="shared" si="25"/>
        <v>0</v>
      </c>
      <c r="L138" s="133" t="e">
        <f t="shared" si="26"/>
        <v>#DIV/0!</v>
      </c>
      <c r="M138" s="234"/>
      <c r="N138" s="234"/>
      <c r="O138" s="234"/>
      <c r="P138" s="351">
        <f t="shared" si="27"/>
        <v>0</v>
      </c>
      <c r="Q138" s="352" t="e">
        <f t="shared" si="28"/>
        <v>#DIV/0!</v>
      </c>
    </row>
    <row r="139" spans="1:17" s="76" customFormat="1" ht="22.5" customHeight="1">
      <c r="A139" s="75" t="s">
        <v>160</v>
      </c>
      <c r="B139" s="80" t="s">
        <v>159</v>
      </c>
      <c r="C139" s="233">
        <f>H139+M139</f>
        <v>23700.2</v>
      </c>
      <c r="D139" s="233">
        <f>I139+N139</f>
        <v>76432.7</v>
      </c>
      <c r="E139" s="233">
        <f>J139+O139</f>
        <v>64586.089</v>
      </c>
      <c r="F139" s="232">
        <f t="shared" si="23"/>
        <v>-11846.610999999997</v>
      </c>
      <c r="G139" s="82">
        <f t="shared" si="24"/>
        <v>84.5005985657971</v>
      </c>
      <c r="H139" s="210">
        <v>23700.2</v>
      </c>
      <c r="I139" s="210">
        <v>76432.7</v>
      </c>
      <c r="J139" s="210">
        <v>64586.089</v>
      </c>
      <c r="K139" s="232">
        <f t="shared" si="25"/>
        <v>-11846.610999999997</v>
      </c>
      <c r="L139" s="82">
        <f t="shared" si="26"/>
        <v>84.5005985657971</v>
      </c>
      <c r="M139" s="233"/>
      <c r="N139" s="233"/>
      <c r="O139" s="233"/>
      <c r="P139" s="354">
        <f t="shared" si="27"/>
        <v>0</v>
      </c>
      <c r="Q139" s="355" t="e">
        <f t="shared" si="28"/>
        <v>#DIV/0!</v>
      </c>
    </row>
    <row r="140" spans="1:17" s="78" customFormat="1" ht="22.5" customHeight="1">
      <c r="A140" s="77"/>
      <c r="B140" s="81" t="s">
        <v>159</v>
      </c>
      <c r="C140" s="234"/>
      <c r="D140" s="234"/>
      <c r="E140" s="236"/>
      <c r="F140" s="232"/>
      <c r="G140" s="82"/>
      <c r="H140" s="236"/>
      <c r="I140" s="236"/>
      <c r="J140" s="236"/>
      <c r="K140" s="232"/>
      <c r="L140" s="82"/>
      <c r="M140" s="234"/>
      <c r="N140" s="234"/>
      <c r="O140" s="234"/>
      <c r="P140" s="232"/>
      <c r="Q140" s="82"/>
    </row>
    <row r="141" spans="1:17" s="76" customFormat="1" ht="22.5" customHeight="1">
      <c r="A141" s="75" t="s">
        <v>3</v>
      </c>
      <c r="B141" s="79"/>
      <c r="C141" s="233">
        <f>C142+C184</f>
        <v>4915186.300000001</v>
      </c>
      <c r="D141" s="233">
        <f>D142+D184</f>
        <v>5561584.777</v>
      </c>
      <c r="E141" s="233">
        <f>E142+E184</f>
        <v>5383865.925</v>
      </c>
      <c r="F141" s="232">
        <f t="shared" si="23"/>
        <v>-177718.85199999996</v>
      </c>
      <c r="G141" s="82">
        <f t="shared" si="24"/>
        <v>96.80452858086497</v>
      </c>
      <c r="H141" s="233">
        <f>H142+H184</f>
        <v>1349590.5</v>
      </c>
      <c r="I141" s="233">
        <f>I142+I184</f>
        <v>1348973.7999999998</v>
      </c>
      <c r="J141" s="233">
        <f>J142+J184</f>
        <v>1348944.64</v>
      </c>
      <c r="K141" s="232">
        <f t="shared" si="25"/>
        <v>-29.15999999991618</v>
      </c>
      <c r="L141" s="82">
        <f t="shared" si="26"/>
        <v>99.99783835683095</v>
      </c>
      <c r="M141" s="233">
        <f>M142+M184</f>
        <v>3565595.8</v>
      </c>
      <c r="N141" s="233">
        <f>N142+N184</f>
        <v>4212610.977</v>
      </c>
      <c r="O141" s="233">
        <f>O142+O184</f>
        <v>4034921.284999999</v>
      </c>
      <c r="P141" s="232">
        <f t="shared" si="27"/>
        <v>-177689.69200000074</v>
      </c>
      <c r="Q141" s="82">
        <f t="shared" si="28"/>
        <v>95.78195819718103</v>
      </c>
    </row>
    <row r="142" spans="1:17" s="76" customFormat="1" ht="22.5" customHeight="1">
      <c r="A142" s="75" t="s">
        <v>130</v>
      </c>
      <c r="B142" s="80"/>
      <c r="C142" s="233">
        <f>C143+C144+C145+C146+C147+C148+C149+C150+C151+C152+C153+C154+C155+C156+C157+C158+C159+C160+C161+C162+C163+C164+C165+C166+C167+C168+C169+C170+C171+C172+C173+C174+C175+C176+C177+C178+C179+C180+C181+C182+C183</f>
        <v>4825282.9</v>
      </c>
      <c r="D142" s="233">
        <f>D143+D144+D145+D146+D147+D148+D149+D150+D151+D152+D153+D154+D155+D156+D157+D158+D159+D160+D161+D162+D163+D164+D165+D166+D167+D168+D169+D170+D171+D172+D173+D174+D175+D176+D177+D178+D179+D180+D181+D182+D183</f>
        <v>5457142.671</v>
      </c>
      <c r="E142" s="233">
        <f>E143+E144+E145+E146+E147+E148+E149+E150+E151+E152+E153+E154+E155+E156+E157+E158+E159+E160+E161+E162+E163+E164+E165+E166+E167+E168+E169+E170+E171+E172+E173+E174+E175+E176+E177+E178+E179+E180+E181+E182+E183</f>
        <v>5294821.834</v>
      </c>
      <c r="F142" s="232">
        <f t="shared" si="23"/>
        <v>-162320.8370000003</v>
      </c>
      <c r="G142" s="82">
        <f t="shared" si="24"/>
        <v>97.02553429906469</v>
      </c>
      <c r="H142" s="233">
        <f>H143+H144+H145+H146+H147+H148+H149+H150+H151+H152+H153+H154+H155+H156+H157+H158+H159+H160+H161+H162+H163+H164+H165+H166+H167+H168+H169+H170+H171+H172+H173+H174+H175+H176+H177+H178+H179+H180+H181+H182+H183</f>
        <v>1349590.5</v>
      </c>
      <c r="I142" s="233">
        <f>I143+I144+I145+I146+I147+I148+I149+I150+I151+I152+I153+I154+I155+I156+I157+I158+I159+I160+I161+I162+I163+I164+I165+I166+I167+I168+I169+I170+I171+I172+I173+I174+I175+I176+I177+I178+I179+I180+I181+I182+I183</f>
        <v>1348973.7999999998</v>
      </c>
      <c r="J142" s="233">
        <f>J143+J144+J145+J146+J147+J148+J149+J150+J151+J152+J153+J154+J155+J156+J157+J158+J159+J160+J161+J162+J163+J164+J165+J166+J167+J168+J169+J170+J171+J172+J173+J174+J175+J176+J177+J178+J179+J180+J181+J182+J183</f>
        <v>1348944.64</v>
      </c>
      <c r="K142" s="232">
        <f t="shared" si="25"/>
        <v>-29.15999999991618</v>
      </c>
      <c r="L142" s="82">
        <f t="shared" si="26"/>
        <v>99.99783835683095</v>
      </c>
      <c r="M142" s="233">
        <f>M143+M144+M145+M146+M147+M148+M149+M150+M151+M152+M153+M154+M155+M156+M157+M158+M159+M160+M161+M162+M163+M164+M165+M166+M167+M168+M169+M170+M171+M172+M173+M174+M175+M176+M177+M178+M179+M180+M181+M182+M183</f>
        <v>3475692.4</v>
      </c>
      <c r="N142" s="233">
        <f>N143+N144+N145+N146+N147+N148+N149+N150+N151+N152+N153+N154+N155+N156+N157+N158+N159+N160+N161+N162+N163+N164+N165+N166+N167+N168+N169+N170+N171+N172+N173+N174+N175+N176+N177+N178+N179+N180+N181+N182+N183</f>
        <v>4108168.871</v>
      </c>
      <c r="O142" s="233">
        <f>O143+O144+O145+O146+O147+O148+O149+O150+O151+O152+O153+O154+O155+O156+O157+O158+O159+O160+O161+O162+O163+O164+O165+O166+O167+O168+O169+O170+O171+O172+O173+O174+O175+O176+O177+O178+O179+O180+O181+O182+O183</f>
        <v>3945877.193999999</v>
      </c>
      <c r="P142" s="232">
        <f t="shared" si="27"/>
        <v>-162291.6770000006</v>
      </c>
      <c r="Q142" s="82">
        <f t="shared" si="28"/>
        <v>96.04953734629473</v>
      </c>
    </row>
    <row r="143" spans="1:17" s="78" customFormat="1" ht="22.5" customHeight="1">
      <c r="A143" s="77" t="s">
        <v>132</v>
      </c>
      <c r="B143" s="81" t="s">
        <v>131</v>
      </c>
      <c r="C143" s="234">
        <f>H143+M143</f>
        <v>280695.2</v>
      </c>
      <c r="D143" s="234">
        <f>I143+N143</f>
        <v>300004.475</v>
      </c>
      <c r="E143" s="234">
        <f>J143+O143</f>
        <v>297068.207</v>
      </c>
      <c r="F143" s="235">
        <f t="shared" si="23"/>
        <v>-2936.267999999982</v>
      </c>
      <c r="G143" s="133">
        <f t="shared" si="24"/>
        <v>99.02125859955923</v>
      </c>
      <c r="H143" s="236">
        <v>7745</v>
      </c>
      <c r="I143" s="236">
        <v>7745</v>
      </c>
      <c r="J143" s="236">
        <v>7745</v>
      </c>
      <c r="K143" s="351">
        <f t="shared" si="25"/>
        <v>0</v>
      </c>
      <c r="L143" s="133">
        <f t="shared" si="26"/>
        <v>100</v>
      </c>
      <c r="M143" s="234">
        <v>272950.2</v>
      </c>
      <c r="N143" s="234">
        <v>292259.475</v>
      </c>
      <c r="O143" s="234">
        <v>289323.207</v>
      </c>
      <c r="P143" s="235">
        <f t="shared" si="27"/>
        <v>-2936.267999999982</v>
      </c>
      <c r="Q143" s="133">
        <f t="shared" si="28"/>
        <v>98.99532153747967</v>
      </c>
    </row>
    <row r="144" spans="1:17" s="78" customFormat="1" ht="22.5" customHeight="1">
      <c r="A144" s="77" t="s">
        <v>134</v>
      </c>
      <c r="B144" s="81" t="s">
        <v>133</v>
      </c>
      <c r="C144" s="234">
        <f aca="true" t="shared" si="29" ref="C144:D183">H144+M144</f>
        <v>45483</v>
      </c>
      <c r="D144" s="234">
        <f t="shared" si="29"/>
        <v>48209.804</v>
      </c>
      <c r="E144" s="234">
        <f>J144+O144</f>
        <v>47094.793</v>
      </c>
      <c r="F144" s="235">
        <f t="shared" si="23"/>
        <v>-1115.0109999999986</v>
      </c>
      <c r="G144" s="133">
        <f t="shared" si="24"/>
        <v>97.68716960558478</v>
      </c>
      <c r="H144" s="236">
        <v>1262.6</v>
      </c>
      <c r="I144" s="236">
        <v>1262.6</v>
      </c>
      <c r="J144" s="236">
        <v>1262.6</v>
      </c>
      <c r="K144" s="351">
        <f t="shared" si="25"/>
        <v>0</v>
      </c>
      <c r="L144" s="133">
        <f t="shared" si="26"/>
        <v>100</v>
      </c>
      <c r="M144" s="234">
        <v>44220.4</v>
      </c>
      <c r="N144" s="234">
        <v>46947.204</v>
      </c>
      <c r="O144" s="234">
        <v>45832.193</v>
      </c>
      <c r="P144" s="235">
        <f t="shared" si="27"/>
        <v>-1115.0109999999986</v>
      </c>
      <c r="Q144" s="133">
        <f t="shared" si="28"/>
        <v>97.62496825157044</v>
      </c>
    </row>
    <row r="145" spans="1:17" s="78" customFormat="1" ht="22.5" customHeight="1">
      <c r="A145" s="77" t="s">
        <v>136</v>
      </c>
      <c r="B145" s="81" t="s">
        <v>135</v>
      </c>
      <c r="C145" s="234">
        <f t="shared" si="29"/>
        <v>1928</v>
      </c>
      <c r="D145" s="234">
        <f t="shared" si="29"/>
        <v>2205.209</v>
      </c>
      <c r="E145" s="234">
        <f>J145+O145</f>
        <v>1926.527</v>
      </c>
      <c r="F145" s="235">
        <f t="shared" si="23"/>
        <v>-278.6819999999998</v>
      </c>
      <c r="G145" s="133">
        <f t="shared" si="24"/>
        <v>87.36255837882034</v>
      </c>
      <c r="H145" s="236">
        <v>40</v>
      </c>
      <c r="I145" s="236"/>
      <c r="J145" s="236"/>
      <c r="K145" s="351">
        <f t="shared" si="25"/>
        <v>0</v>
      </c>
      <c r="L145" s="352" t="e">
        <f t="shared" si="26"/>
        <v>#DIV/0!</v>
      </c>
      <c r="M145" s="234">
        <v>1888</v>
      </c>
      <c r="N145" s="234">
        <v>2205.209</v>
      </c>
      <c r="O145" s="234">
        <v>1926.527</v>
      </c>
      <c r="P145" s="235">
        <f t="shared" si="27"/>
        <v>-278.6819999999998</v>
      </c>
      <c r="Q145" s="133">
        <f t="shared" si="28"/>
        <v>87.36255837882034</v>
      </c>
    </row>
    <row r="146" spans="1:17" s="78" customFormat="1" ht="22.5" customHeight="1">
      <c r="A146" s="77" t="s">
        <v>443</v>
      </c>
      <c r="B146" s="81" t="s">
        <v>137</v>
      </c>
      <c r="C146" s="234">
        <f t="shared" si="29"/>
        <v>2449.9</v>
      </c>
      <c r="D146" s="234">
        <f t="shared" si="29"/>
        <v>2873.209</v>
      </c>
      <c r="E146" s="234">
        <f>J146+O146</f>
        <v>2549.778</v>
      </c>
      <c r="F146" s="235">
        <f t="shared" si="23"/>
        <v>-323.43100000000004</v>
      </c>
      <c r="G146" s="133">
        <f t="shared" si="24"/>
        <v>88.74321359845385</v>
      </c>
      <c r="H146" s="234">
        <v>40</v>
      </c>
      <c r="I146" s="234">
        <v>55</v>
      </c>
      <c r="J146" s="234">
        <v>55</v>
      </c>
      <c r="K146" s="351">
        <f t="shared" si="25"/>
        <v>0</v>
      </c>
      <c r="L146" s="133">
        <f t="shared" si="26"/>
        <v>100</v>
      </c>
      <c r="M146" s="234">
        <v>2409.9</v>
      </c>
      <c r="N146" s="234">
        <v>2818.209</v>
      </c>
      <c r="O146" s="234">
        <v>2494.778</v>
      </c>
      <c r="P146" s="235">
        <f t="shared" si="27"/>
        <v>-323.43100000000004</v>
      </c>
      <c r="Q146" s="133">
        <f t="shared" si="28"/>
        <v>88.5235268214671</v>
      </c>
    </row>
    <row r="147" spans="1:17" s="78" customFormat="1" ht="22.5" customHeight="1">
      <c r="A147" s="77" t="s">
        <v>9</v>
      </c>
      <c r="B147" s="81" t="s">
        <v>138</v>
      </c>
      <c r="C147" s="234">
        <f t="shared" si="29"/>
        <v>1286.4</v>
      </c>
      <c r="D147" s="234">
        <f t="shared" si="29"/>
        <v>1610.8</v>
      </c>
      <c r="E147" s="234">
        <f aca="true" t="shared" si="30" ref="E147:E183">J147+O147</f>
        <v>1374.4</v>
      </c>
      <c r="F147" s="235">
        <f t="shared" si="23"/>
        <v>-236.39999999999986</v>
      </c>
      <c r="G147" s="133">
        <f t="shared" si="24"/>
        <v>85.3240625776012</v>
      </c>
      <c r="H147" s="236"/>
      <c r="I147" s="236"/>
      <c r="J147" s="236"/>
      <c r="K147" s="351">
        <f t="shared" si="25"/>
        <v>0</v>
      </c>
      <c r="L147" s="352" t="e">
        <f t="shared" si="26"/>
        <v>#DIV/0!</v>
      </c>
      <c r="M147" s="234">
        <v>1286.4</v>
      </c>
      <c r="N147" s="234">
        <v>1610.8</v>
      </c>
      <c r="O147" s="234">
        <v>1374.4</v>
      </c>
      <c r="P147" s="235">
        <f t="shared" si="27"/>
        <v>-236.39999999999986</v>
      </c>
      <c r="Q147" s="133">
        <f t="shared" si="28"/>
        <v>85.3240625776012</v>
      </c>
    </row>
    <row r="148" spans="1:17" s="78" customFormat="1" ht="22.5" customHeight="1">
      <c r="A148" s="77" t="s">
        <v>140</v>
      </c>
      <c r="B148" s="81" t="s">
        <v>139</v>
      </c>
      <c r="C148" s="234">
        <f t="shared" si="29"/>
        <v>87218.6</v>
      </c>
      <c r="D148" s="234">
        <f t="shared" si="29"/>
        <v>98019.035</v>
      </c>
      <c r="E148" s="234">
        <f t="shared" si="30"/>
        <v>94290.308</v>
      </c>
      <c r="F148" s="235">
        <f t="shared" si="23"/>
        <v>-3728.726999999999</v>
      </c>
      <c r="G148" s="133">
        <f t="shared" si="24"/>
        <v>96.19591541581694</v>
      </c>
      <c r="H148" s="236">
        <v>255</v>
      </c>
      <c r="I148" s="236">
        <v>253.3</v>
      </c>
      <c r="J148" s="236">
        <v>253.3</v>
      </c>
      <c r="K148" s="351">
        <f t="shared" si="25"/>
        <v>0</v>
      </c>
      <c r="L148" s="133">
        <f t="shared" si="26"/>
        <v>100</v>
      </c>
      <c r="M148" s="234">
        <v>86963.6</v>
      </c>
      <c r="N148" s="234">
        <v>97765.735</v>
      </c>
      <c r="O148" s="234">
        <v>94037.008</v>
      </c>
      <c r="P148" s="235">
        <f t="shared" si="27"/>
        <v>-3728.726999999999</v>
      </c>
      <c r="Q148" s="133">
        <f t="shared" si="28"/>
        <v>96.18605946142583</v>
      </c>
    </row>
    <row r="149" spans="1:17" s="78" customFormat="1" ht="22.5" customHeight="1">
      <c r="A149" s="77" t="s">
        <v>444</v>
      </c>
      <c r="B149" s="81" t="s">
        <v>141</v>
      </c>
      <c r="C149" s="234">
        <f t="shared" si="29"/>
        <v>480194</v>
      </c>
      <c r="D149" s="234">
        <f t="shared" si="29"/>
        <v>620944.982</v>
      </c>
      <c r="E149" s="234">
        <f t="shared" si="30"/>
        <v>555752.32</v>
      </c>
      <c r="F149" s="235">
        <f t="shared" si="23"/>
        <v>-65192.66200000001</v>
      </c>
      <c r="G149" s="133">
        <f t="shared" si="24"/>
        <v>89.50105663306576</v>
      </c>
      <c r="H149" s="234">
        <v>157.7</v>
      </c>
      <c r="I149" s="234">
        <v>115.2</v>
      </c>
      <c r="J149" s="240">
        <v>115.2</v>
      </c>
      <c r="K149" s="351">
        <f t="shared" si="25"/>
        <v>0</v>
      </c>
      <c r="L149" s="133">
        <f t="shared" si="26"/>
        <v>100</v>
      </c>
      <c r="M149" s="234">
        <v>480036.3</v>
      </c>
      <c r="N149" s="234">
        <v>620829.782</v>
      </c>
      <c r="O149" s="234">
        <v>555637.12</v>
      </c>
      <c r="P149" s="235">
        <f t="shared" si="27"/>
        <v>-65192.66200000001</v>
      </c>
      <c r="Q149" s="133">
        <f t="shared" si="28"/>
        <v>89.49910846899417</v>
      </c>
    </row>
    <row r="150" spans="1:17" s="78" customFormat="1" ht="22.5" customHeight="1" hidden="1">
      <c r="A150" s="77" t="s">
        <v>290</v>
      </c>
      <c r="B150" s="81" t="s">
        <v>285</v>
      </c>
      <c r="C150" s="234">
        <f t="shared" si="29"/>
        <v>0</v>
      </c>
      <c r="D150" s="234">
        <f t="shared" si="29"/>
        <v>0</v>
      </c>
      <c r="E150" s="234">
        <f t="shared" si="30"/>
        <v>0</v>
      </c>
      <c r="F150" s="235">
        <f t="shared" si="23"/>
        <v>0</v>
      </c>
      <c r="G150" s="133" t="e">
        <f t="shared" si="24"/>
        <v>#DIV/0!</v>
      </c>
      <c r="H150" s="236"/>
      <c r="I150" s="236"/>
      <c r="J150" s="236"/>
      <c r="K150" s="351">
        <f t="shared" si="25"/>
        <v>0</v>
      </c>
      <c r="L150" s="133" t="e">
        <f t="shared" si="26"/>
        <v>#DIV/0!</v>
      </c>
      <c r="M150" s="234"/>
      <c r="N150" s="234"/>
      <c r="O150" s="234"/>
      <c r="P150" s="235">
        <f t="shared" si="27"/>
        <v>0</v>
      </c>
      <c r="Q150" s="133" t="e">
        <f t="shared" si="28"/>
        <v>#DIV/0!</v>
      </c>
    </row>
    <row r="151" spans="1:17" s="78" customFormat="1" ht="22.5" customHeight="1">
      <c r="A151" s="77" t="s">
        <v>519</v>
      </c>
      <c r="B151" s="81" t="s">
        <v>286</v>
      </c>
      <c r="C151" s="234">
        <f t="shared" si="29"/>
        <v>85</v>
      </c>
      <c r="D151" s="234">
        <f t="shared" si="29"/>
        <v>65</v>
      </c>
      <c r="E151" s="234">
        <f t="shared" si="30"/>
        <v>65</v>
      </c>
      <c r="F151" s="351">
        <f t="shared" si="23"/>
        <v>0</v>
      </c>
      <c r="G151" s="133">
        <f t="shared" si="24"/>
        <v>100</v>
      </c>
      <c r="H151" s="236">
        <v>60</v>
      </c>
      <c r="I151" s="236">
        <v>60</v>
      </c>
      <c r="J151" s="236">
        <v>60</v>
      </c>
      <c r="K151" s="351">
        <f t="shared" si="25"/>
        <v>0</v>
      </c>
      <c r="L151" s="133">
        <f t="shared" si="26"/>
        <v>100</v>
      </c>
      <c r="M151" s="234">
        <v>25</v>
      </c>
      <c r="N151" s="234">
        <v>5</v>
      </c>
      <c r="O151" s="234">
        <v>5</v>
      </c>
      <c r="P151" s="351">
        <f t="shared" si="27"/>
        <v>0</v>
      </c>
      <c r="Q151" s="133">
        <f t="shared" si="28"/>
        <v>100</v>
      </c>
    </row>
    <row r="152" spans="1:17" s="78" customFormat="1" ht="22.5" customHeight="1">
      <c r="A152" s="77" t="s">
        <v>169</v>
      </c>
      <c r="B152" s="81" t="s">
        <v>287</v>
      </c>
      <c r="C152" s="234">
        <f t="shared" si="29"/>
        <v>2074.8</v>
      </c>
      <c r="D152" s="234">
        <f t="shared" si="29"/>
        <v>2070.6</v>
      </c>
      <c r="E152" s="234">
        <f t="shared" si="30"/>
        <v>2046.97</v>
      </c>
      <c r="F152" s="235">
        <f t="shared" si="23"/>
        <v>-23.62999999999988</v>
      </c>
      <c r="G152" s="133">
        <f t="shared" si="24"/>
        <v>98.85878489326765</v>
      </c>
      <c r="H152" s="236">
        <v>1994.8</v>
      </c>
      <c r="I152" s="236">
        <v>1990.6</v>
      </c>
      <c r="J152" s="236">
        <v>1981.97</v>
      </c>
      <c r="K152" s="235">
        <f t="shared" si="25"/>
        <v>-8.629999999999882</v>
      </c>
      <c r="L152" s="133">
        <f t="shared" si="26"/>
        <v>99.56646237315383</v>
      </c>
      <c r="M152" s="234">
        <v>80</v>
      </c>
      <c r="N152" s="234">
        <v>80</v>
      </c>
      <c r="O152" s="234">
        <v>65</v>
      </c>
      <c r="P152" s="235">
        <f t="shared" si="27"/>
        <v>-15</v>
      </c>
      <c r="Q152" s="133">
        <f t="shared" si="28"/>
        <v>81.25</v>
      </c>
    </row>
    <row r="153" spans="1:17" s="78" customFormat="1" ht="22.5" customHeight="1">
      <c r="A153" s="77" t="s">
        <v>446</v>
      </c>
      <c r="B153" s="81" t="s">
        <v>445</v>
      </c>
      <c r="C153" s="234">
        <f t="shared" si="29"/>
        <v>179168.8</v>
      </c>
      <c r="D153" s="234">
        <f t="shared" si="29"/>
        <v>257138.725</v>
      </c>
      <c r="E153" s="234">
        <f t="shared" si="30"/>
        <v>222078.237</v>
      </c>
      <c r="F153" s="235">
        <f t="shared" si="23"/>
        <v>-35060.48800000001</v>
      </c>
      <c r="G153" s="133">
        <f t="shared" si="24"/>
        <v>86.36514667325973</v>
      </c>
      <c r="H153" s="236">
        <v>350</v>
      </c>
      <c r="I153" s="236">
        <v>349.2</v>
      </c>
      <c r="J153" s="236">
        <v>329.084</v>
      </c>
      <c r="K153" s="235">
        <f t="shared" si="25"/>
        <v>-20.115999999999985</v>
      </c>
      <c r="L153" s="133">
        <f t="shared" si="26"/>
        <v>94.23940435280642</v>
      </c>
      <c r="M153" s="234">
        <v>178818.8</v>
      </c>
      <c r="N153" s="234">
        <v>256789.525</v>
      </c>
      <c r="O153" s="234">
        <v>221749.153</v>
      </c>
      <c r="P153" s="235">
        <f t="shared" si="27"/>
        <v>-35040.372</v>
      </c>
      <c r="Q153" s="133">
        <f t="shared" si="28"/>
        <v>86.35443871785657</v>
      </c>
    </row>
    <row r="154" spans="1:17" s="78" customFormat="1" ht="22.5" customHeight="1">
      <c r="A154" s="77" t="s">
        <v>448</v>
      </c>
      <c r="B154" s="81" t="s">
        <v>447</v>
      </c>
      <c r="C154" s="234">
        <f t="shared" si="29"/>
        <v>66881.3</v>
      </c>
      <c r="D154" s="234">
        <f t="shared" si="29"/>
        <v>99723.99500000001</v>
      </c>
      <c r="E154" s="234">
        <f t="shared" si="30"/>
        <v>89657.94600000001</v>
      </c>
      <c r="F154" s="235">
        <f t="shared" si="23"/>
        <v>-10066.048999999999</v>
      </c>
      <c r="G154" s="133">
        <f t="shared" si="24"/>
        <v>89.90609130731275</v>
      </c>
      <c r="H154" s="236">
        <v>700</v>
      </c>
      <c r="I154" s="236">
        <v>651.1</v>
      </c>
      <c r="J154" s="236">
        <v>651.1</v>
      </c>
      <c r="K154" s="351">
        <f t="shared" si="25"/>
        <v>0</v>
      </c>
      <c r="L154" s="133">
        <f t="shared" si="26"/>
        <v>100</v>
      </c>
      <c r="M154" s="234">
        <v>66181.3</v>
      </c>
      <c r="N154" s="234">
        <v>99072.895</v>
      </c>
      <c r="O154" s="234">
        <v>89006.846</v>
      </c>
      <c r="P154" s="235">
        <f t="shared" si="27"/>
        <v>-10066.048999999999</v>
      </c>
      <c r="Q154" s="133">
        <f t="shared" si="28"/>
        <v>89.8397548592882</v>
      </c>
    </row>
    <row r="155" spans="1:17" s="78" customFormat="1" ht="22.5" customHeight="1">
      <c r="A155" s="77" t="s">
        <v>170</v>
      </c>
      <c r="B155" s="81" t="s">
        <v>449</v>
      </c>
      <c r="C155" s="234">
        <f t="shared" si="29"/>
        <v>2728.8</v>
      </c>
      <c r="D155" s="234">
        <f t="shared" si="29"/>
        <v>2033.6</v>
      </c>
      <c r="E155" s="234">
        <f t="shared" si="30"/>
        <v>1924.431</v>
      </c>
      <c r="F155" s="235">
        <f t="shared" si="23"/>
        <v>-109.16899999999987</v>
      </c>
      <c r="G155" s="133">
        <f t="shared" si="24"/>
        <v>94.63173682140048</v>
      </c>
      <c r="H155" s="236">
        <v>470</v>
      </c>
      <c r="I155" s="236">
        <v>50</v>
      </c>
      <c r="J155" s="236">
        <v>49.586</v>
      </c>
      <c r="K155" s="235">
        <f t="shared" si="25"/>
        <v>-0.4140000000000015</v>
      </c>
      <c r="L155" s="133">
        <f t="shared" si="26"/>
        <v>99.172</v>
      </c>
      <c r="M155" s="234">
        <v>2258.8</v>
      </c>
      <c r="N155" s="234">
        <v>1983.6</v>
      </c>
      <c r="O155" s="234">
        <v>1874.845</v>
      </c>
      <c r="P155" s="235">
        <f t="shared" si="27"/>
        <v>-108.75499999999988</v>
      </c>
      <c r="Q155" s="133">
        <f t="shared" si="28"/>
        <v>94.51729179270015</v>
      </c>
    </row>
    <row r="156" spans="1:17" s="78" customFormat="1" ht="22.5" customHeight="1">
      <c r="A156" s="77" t="s">
        <v>451</v>
      </c>
      <c r="B156" s="81" t="s">
        <v>450</v>
      </c>
      <c r="C156" s="234">
        <f t="shared" si="29"/>
        <v>755</v>
      </c>
      <c r="D156" s="234">
        <f t="shared" si="29"/>
        <v>912.94</v>
      </c>
      <c r="E156" s="234">
        <f t="shared" si="30"/>
        <v>878.98</v>
      </c>
      <c r="F156" s="235">
        <f t="shared" si="23"/>
        <v>-33.960000000000036</v>
      </c>
      <c r="G156" s="133">
        <f t="shared" si="24"/>
        <v>96.28014984555392</v>
      </c>
      <c r="H156" s="236"/>
      <c r="I156" s="236"/>
      <c r="J156" s="236"/>
      <c r="K156" s="351">
        <f t="shared" si="25"/>
        <v>0</v>
      </c>
      <c r="L156" s="352" t="e">
        <f t="shared" si="26"/>
        <v>#DIV/0!</v>
      </c>
      <c r="M156" s="234">
        <v>755</v>
      </c>
      <c r="N156" s="234">
        <v>912.94</v>
      </c>
      <c r="O156" s="234">
        <v>878.98</v>
      </c>
      <c r="P156" s="235">
        <f t="shared" si="27"/>
        <v>-33.960000000000036</v>
      </c>
      <c r="Q156" s="133">
        <f t="shared" si="28"/>
        <v>96.28014984555392</v>
      </c>
    </row>
    <row r="157" spans="1:17" s="78" customFormat="1" ht="22.5" customHeight="1">
      <c r="A157" s="77" t="s">
        <v>453</v>
      </c>
      <c r="B157" s="81" t="s">
        <v>452</v>
      </c>
      <c r="C157" s="234">
        <f t="shared" si="29"/>
        <v>5120.7</v>
      </c>
      <c r="D157" s="234">
        <f t="shared" si="29"/>
        <v>4419.7</v>
      </c>
      <c r="E157" s="234">
        <f t="shared" si="30"/>
        <v>4405.93</v>
      </c>
      <c r="F157" s="235">
        <f t="shared" si="23"/>
        <v>-13.769999999999527</v>
      </c>
      <c r="G157" s="133">
        <f t="shared" si="24"/>
        <v>99.68844039188181</v>
      </c>
      <c r="H157" s="236">
        <v>40</v>
      </c>
      <c r="I157" s="236">
        <v>70</v>
      </c>
      <c r="J157" s="236">
        <v>70</v>
      </c>
      <c r="K157" s="351">
        <f t="shared" si="25"/>
        <v>0</v>
      </c>
      <c r="L157" s="133">
        <f t="shared" si="26"/>
        <v>100</v>
      </c>
      <c r="M157" s="234">
        <v>5080.7</v>
      </c>
      <c r="N157" s="234">
        <v>4349.7</v>
      </c>
      <c r="O157" s="234">
        <v>4335.93</v>
      </c>
      <c r="P157" s="235">
        <f t="shared" si="27"/>
        <v>-13.769999999999527</v>
      </c>
      <c r="Q157" s="133">
        <f t="shared" si="28"/>
        <v>99.68342644320299</v>
      </c>
    </row>
    <row r="158" spans="1:17" s="78" customFormat="1" ht="22.5" customHeight="1" hidden="1">
      <c r="A158" s="77" t="s">
        <v>455</v>
      </c>
      <c r="B158" s="81" t="s">
        <v>454</v>
      </c>
      <c r="C158" s="234">
        <f t="shared" si="29"/>
        <v>0</v>
      </c>
      <c r="D158" s="234">
        <f t="shared" si="29"/>
        <v>0</v>
      </c>
      <c r="E158" s="234">
        <f t="shared" si="30"/>
        <v>0</v>
      </c>
      <c r="F158" s="235">
        <f t="shared" si="23"/>
        <v>0</v>
      </c>
      <c r="G158" s="133" t="e">
        <f t="shared" si="24"/>
        <v>#DIV/0!</v>
      </c>
      <c r="H158" s="236"/>
      <c r="I158" s="236"/>
      <c r="J158" s="236"/>
      <c r="K158" s="351">
        <f t="shared" si="25"/>
        <v>0</v>
      </c>
      <c r="L158" s="133" t="e">
        <f t="shared" si="26"/>
        <v>#DIV/0!</v>
      </c>
      <c r="M158" s="234"/>
      <c r="N158" s="234"/>
      <c r="O158" s="234"/>
      <c r="P158" s="235">
        <f t="shared" si="27"/>
        <v>0</v>
      </c>
      <c r="Q158" s="133" t="e">
        <f t="shared" si="28"/>
        <v>#DIV/0!</v>
      </c>
    </row>
    <row r="159" spans="1:17" s="78" customFormat="1" ht="22.5" customHeight="1">
      <c r="A159" s="77" t="s">
        <v>543</v>
      </c>
      <c r="B159" s="81" t="s">
        <v>456</v>
      </c>
      <c r="C159" s="234">
        <f t="shared" si="29"/>
        <v>86425.5</v>
      </c>
      <c r="D159" s="234">
        <f t="shared" si="29"/>
        <v>83572.166</v>
      </c>
      <c r="E159" s="234">
        <f t="shared" si="30"/>
        <v>78563.81199999999</v>
      </c>
      <c r="F159" s="235">
        <f t="shared" si="23"/>
        <v>-5008.354000000007</v>
      </c>
      <c r="G159" s="133">
        <f t="shared" si="24"/>
        <v>94.00715065827059</v>
      </c>
      <c r="H159" s="236">
        <v>752</v>
      </c>
      <c r="I159" s="236">
        <v>648.4</v>
      </c>
      <c r="J159" s="236">
        <v>648.4</v>
      </c>
      <c r="K159" s="351">
        <f t="shared" si="25"/>
        <v>0</v>
      </c>
      <c r="L159" s="133">
        <f t="shared" si="26"/>
        <v>100</v>
      </c>
      <c r="M159" s="234">
        <v>85673.5</v>
      </c>
      <c r="N159" s="234">
        <v>82923.766</v>
      </c>
      <c r="O159" s="234">
        <v>77915.412</v>
      </c>
      <c r="P159" s="235">
        <f t="shared" si="27"/>
        <v>-5008.354000000007</v>
      </c>
      <c r="Q159" s="133">
        <f t="shared" si="28"/>
        <v>93.960291190827</v>
      </c>
    </row>
    <row r="160" spans="1:17" s="78" customFormat="1" ht="22.5" customHeight="1" hidden="1">
      <c r="A160" s="77" t="s">
        <v>167</v>
      </c>
      <c r="B160" s="81" t="s">
        <v>457</v>
      </c>
      <c r="C160" s="234">
        <f t="shared" si="29"/>
        <v>0</v>
      </c>
      <c r="D160" s="234">
        <f t="shared" si="29"/>
        <v>0</v>
      </c>
      <c r="E160" s="234">
        <f t="shared" si="30"/>
        <v>0</v>
      </c>
      <c r="F160" s="235">
        <f t="shared" si="23"/>
        <v>0</v>
      </c>
      <c r="G160" s="133" t="e">
        <f t="shared" si="24"/>
        <v>#DIV/0!</v>
      </c>
      <c r="H160" s="236"/>
      <c r="I160" s="236"/>
      <c r="J160" s="236"/>
      <c r="K160" s="235">
        <f t="shared" si="25"/>
        <v>0</v>
      </c>
      <c r="L160" s="133" t="e">
        <f t="shared" si="26"/>
        <v>#DIV/0!</v>
      </c>
      <c r="M160" s="234"/>
      <c r="N160" s="234"/>
      <c r="O160" s="234"/>
      <c r="P160" s="235">
        <f t="shared" si="27"/>
        <v>0</v>
      </c>
      <c r="Q160" s="133" t="e">
        <f t="shared" si="28"/>
        <v>#DIV/0!</v>
      </c>
    </row>
    <row r="161" spans="1:17" s="78" customFormat="1" ht="22.5" customHeight="1" hidden="1">
      <c r="A161" s="77" t="s">
        <v>168</v>
      </c>
      <c r="B161" s="81" t="s">
        <v>458</v>
      </c>
      <c r="C161" s="234">
        <f t="shared" si="29"/>
        <v>0</v>
      </c>
      <c r="D161" s="234">
        <f t="shared" si="29"/>
        <v>0</v>
      </c>
      <c r="E161" s="234">
        <f t="shared" si="30"/>
        <v>0</v>
      </c>
      <c r="F161" s="235">
        <f t="shared" si="23"/>
        <v>0</v>
      </c>
      <c r="G161" s="133" t="e">
        <f t="shared" si="24"/>
        <v>#DIV/0!</v>
      </c>
      <c r="H161" s="236"/>
      <c r="I161" s="236"/>
      <c r="J161" s="236"/>
      <c r="K161" s="235">
        <f t="shared" si="25"/>
        <v>0</v>
      </c>
      <c r="L161" s="133" t="e">
        <f t="shared" si="26"/>
        <v>#DIV/0!</v>
      </c>
      <c r="M161" s="234"/>
      <c r="N161" s="234"/>
      <c r="O161" s="234"/>
      <c r="P161" s="235">
        <f t="shared" si="27"/>
        <v>0</v>
      </c>
      <c r="Q161" s="133" t="e">
        <f t="shared" si="28"/>
        <v>#DIV/0!</v>
      </c>
    </row>
    <row r="162" spans="1:17" s="78" customFormat="1" ht="22.5" customHeight="1" hidden="1">
      <c r="A162" s="77" t="s">
        <v>24</v>
      </c>
      <c r="B162" s="81" t="s">
        <v>459</v>
      </c>
      <c r="C162" s="234">
        <f t="shared" si="29"/>
        <v>0</v>
      </c>
      <c r="D162" s="234">
        <f t="shared" si="29"/>
        <v>0</v>
      </c>
      <c r="E162" s="234">
        <f t="shared" si="30"/>
        <v>0</v>
      </c>
      <c r="F162" s="235">
        <f t="shared" si="23"/>
        <v>0</v>
      </c>
      <c r="G162" s="133" t="e">
        <f t="shared" si="24"/>
        <v>#DIV/0!</v>
      </c>
      <c r="H162" s="236"/>
      <c r="I162" s="236"/>
      <c r="J162" s="236"/>
      <c r="K162" s="235">
        <f t="shared" si="25"/>
        <v>0</v>
      </c>
      <c r="L162" s="133" t="e">
        <f t="shared" si="26"/>
        <v>#DIV/0!</v>
      </c>
      <c r="M162" s="234"/>
      <c r="N162" s="234"/>
      <c r="O162" s="234"/>
      <c r="P162" s="235">
        <f t="shared" si="27"/>
        <v>0</v>
      </c>
      <c r="Q162" s="133" t="e">
        <f t="shared" si="28"/>
        <v>#DIV/0!</v>
      </c>
    </row>
    <row r="163" spans="1:17" s="78" customFormat="1" ht="22.5" customHeight="1" hidden="1">
      <c r="A163" s="77" t="s">
        <v>461</v>
      </c>
      <c r="B163" s="81" t="s">
        <v>460</v>
      </c>
      <c r="C163" s="234">
        <f t="shared" si="29"/>
        <v>0</v>
      </c>
      <c r="D163" s="234">
        <f t="shared" si="29"/>
        <v>0</v>
      </c>
      <c r="E163" s="234">
        <f t="shared" si="30"/>
        <v>0</v>
      </c>
      <c r="F163" s="235">
        <f t="shared" si="23"/>
        <v>0</v>
      </c>
      <c r="G163" s="133" t="e">
        <f t="shared" si="24"/>
        <v>#DIV/0!</v>
      </c>
      <c r="H163" s="236"/>
      <c r="I163" s="236"/>
      <c r="J163" s="236"/>
      <c r="K163" s="235">
        <f t="shared" si="25"/>
        <v>0</v>
      </c>
      <c r="L163" s="133" t="e">
        <f t="shared" si="26"/>
        <v>#DIV/0!</v>
      </c>
      <c r="M163" s="234"/>
      <c r="N163" s="234"/>
      <c r="O163" s="234"/>
      <c r="P163" s="235">
        <f t="shared" si="27"/>
        <v>0</v>
      </c>
      <c r="Q163" s="133" t="e">
        <f t="shared" si="28"/>
        <v>#DIV/0!</v>
      </c>
    </row>
    <row r="164" spans="1:17" s="78" customFormat="1" ht="22.5" customHeight="1" hidden="1">
      <c r="A164" s="77" t="s">
        <v>143</v>
      </c>
      <c r="B164" s="81" t="s">
        <v>142</v>
      </c>
      <c r="C164" s="234">
        <f t="shared" si="29"/>
        <v>0</v>
      </c>
      <c r="D164" s="234">
        <f t="shared" si="29"/>
        <v>0</v>
      </c>
      <c r="E164" s="234">
        <f t="shared" si="30"/>
        <v>0</v>
      </c>
      <c r="F164" s="235">
        <f t="shared" si="23"/>
        <v>0</v>
      </c>
      <c r="G164" s="133" t="e">
        <f t="shared" si="24"/>
        <v>#DIV/0!</v>
      </c>
      <c r="H164" s="236"/>
      <c r="I164" s="236"/>
      <c r="J164" s="236"/>
      <c r="K164" s="235">
        <f t="shared" si="25"/>
        <v>0</v>
      </c>
      <c r="L164" s="133" t="e">
        <f t="shared" si="26"/>
        <v>#DIV/0!</v>
      </c>
      <c r="M164" s="234"/>
      <c r="N164" s="234"/>
      <c r="O164" s="234"/>
      <c r="P164" s="235">
        <f t="shared" si="27"/>
        <v>0</v>
      </c>
      <c r="Q164" s="133" t="e">
        <f t="shared" si="28"/>
        <v>#DIV/0!</v>
      </c>
    </row>
    <row r="165" spans="1:17" s="78" customFormat="1" ht="22.5" customHeight="1" hidden="1">
      <c r="A165" s="77" t="s">
        <v>145</v>
      </c>
      <c r="B165" s="81" t="s">
        <v>144</v>
      </c>
      <c r="C165" s="234">
        <f t="shared" si="29"/>
        <v>0</v>
      </c>
      <c r="D165" s="234">
        <f t="shared" si="29"/>
        <v>0</v>
      </c>
      <c r="E165" s="234">
        <f t="shared" si="30"/>
        <v>0</v>
      </c>
      <c r="F165" s="235">
        <f t="shared" si="23"/>
        <v>0</v>
      </c>
      <c r="G165" s="133" t="e">
        <f t="shared" si="24"/>
        <v>#DIV/0!</v>
      </c>
      <c r="H165" s="236"/>
      <c r="I165" s="236"/>
      <c r="J165" s="236"/>
      <c r="K165" s="235">
        <f t="shared" si="25"/>
        <v>0</v>
      </c>
      <c r="L165" s="133" t="e">
        <f t="shared" si="26"/>
        <v>#DIV/0!</v>
      </c>
      <c r="M165" s="234"/>
      <c r="N165" s="234"/>
      <c r="O165" s="234"/>
      <c r="P165" s="235">
        <f t="shared" si="27"/>
        <v>0</v>
      </c>
      <c r="Q165" s="133" t="e">
        <f t="shared" si="28"/>
        <v>#DIV/0!</v>
      </c>
    </row>
    <row r="166" spans="1:17" s="78" customFormat="1" ht="22.5" customHeight="1" hidden="1">
      <c r="A166" s="77" t="s">
        <v>289</v>
      </c>
      <c r="B166" s="81" t="s">
        <v>288</v>
      </c>
      <c r="C166" s="234">
        <f t="shared" si="29"/>
        <v>0</v>
      </c>
      <c r="D166" s="234">
        <f t="shared" si="29"/>
        <v>0</v>
      </c>
      <c r="E166" s="234">
        <f t="shared" si="30"/>
        <v>0</v>
      </c>
      <c r="F166" s="235">
        <f t="shared" si="23"/>
        <v>0</v>
      </c>
      <c r="G166" s="133" t="e">
        <f t="shared" si="24"/>
        <v>#DIV/0!</v>
      </c>
      <c r="H166" s="236"/>
      <c r="I166" s="236"/>
      <c r="J166" s="236"/>
      <c r="K166" s="235">
        <f t="shared" si="25"/>
        <v>0</v>
      </c>
      <c r="L166" s="133" t="e">
        <f t="shared" si="26"/>
        <v>#DIV/0!</v>
      </c>
      <c r="M166" s="234"/>
      <c r="N166" s="234"/>
      <c r="O166" s="234"/>
      <c r="P166" s="235">
        <f t="shared" si="27"/>
        <v>0</v>
      </c>
      <c r="Q166" s="133" t="e">
        <f t="shared" si="28"/>
        <v>#DIV/0!</v>
      </c>
    </row>
    <row r="167" spans="1:17" s="78" customFormat="1" ht="22.5" customHeight="1">
      <c r="A167" s="77" t="s">
        <v>292</v>
      </c>
      <c r="B167" s="81" t="s">
        <v>291</v>
      </c>
      <c r="C167" s="234">
        <f t="shared" si="29"/>
        <v>0</v>
      </c>
      <c r="D167" s="234">
        <f t="shared" si="29"/>
        <v>926.2</v>
      </c>
      <c r="E167" s="234">
        <f t="shared" si="30"/>
        <v>926.2</v>
      </c>
      <c r="F167" s="351">
        <f t="shared" si="23"/>
        <v>0</v>
      </c>
      <c r="G167" s="133">
        <f t="shared" si="24"/>
        <v>100</v>
      </c>
      <c r="H167" s="236"/>
      <c r="I167" s="236"/>
      <c r="J167" s="236"/>
      <c r="K167" s="351">
        <f t="shared" si="25"/>
        <v>0</v>
      </c>
      <c r="L167" s="352" t="e">
        <f t="shared" si="26"/>
        <v>#DIV/0!</v>
      </c>
      <c r="M167" s="234"/>
      <c r="N167" s="234">
        <v>926.2</v>
      </c>
      <c r="O167" s="234">
        <v>926.2</v>
      </c>
      <c r="P167" s="351">
        <f t="shared" si="27"/>
        <v>0</v>
      </c>
      <c r="Q167" s="133">
        <f t="shared" si="28"/>
        <v>100</v>
      </c>
    </row>
    <row r="168" spans="1:17" s="78" customFormat="1" ht="22.5" customHeight="1">
      <c r="A168" s="77" t="s">
        <v>162</v>
      </c>
      <c r="B168" s="81" t="s">
        <v>161</v>
      </c>
      <c r="C168" s="234">
        <f t="shared" si="29"/>
        <v>3554751.8</v>
      </c>
      <c r="D168" s="234">
        <f t="shared" si="29"/>
        <v>3897285.317</v>
      </c>
      <c r="E168" s="234">
        <f t="shared" si="30"/>
        <v>3860738.923</v>
      </c>
      <c r="F168" s="235">
        <f t="shared" si="23"/>
        <v>-36546.393999999855</v>
      </c>
      <c r="G168" s="133">
        <f t="shared" si="24"/>
        <v>99.06226023943938</v>
      </c>
      <c r="H168" s="236">
        <v>1335723.4</v>
      </c>
      <c r="I168" s="236">
        <v>1335723.4</v>
      </c>
      <c r="J168" s="236">
        <v>1335723.4</v>
      </c>
      <c r="K168" s="351">
        <f t="shared" si="25"/>
        <v>0</v>
      </c>
      <c r="L168" s="133">
        <f t="shared" si="26"/>
        <v>100</v>
      </c>
      <c r="M168" s="234">
        <v>2219028.4</v>
      </c>
      <c r="N168" s="234">
        <v>2561561.917</v>
      </c>
      <c r="O168" s="234">
        <v>2525015.523</v>
      </c>
      <c r="P168" s="235">
        <f t="shared" si="27"/>
        <v>-36546.393999999855</v>
      </c>
      <c r="Q168" s="133">
        <f t="shared" si="28"/>
        <v>98.57327696209657</v>
      </c>
    </row>
    <row r="169" spans="1:17" s="78" customFormat="1" ht="22.5" customHeight="1">
      <c r="A169" s="77" t="s">
        <v>164</v>
      </c>
      <c r="B169" s="81" t="s">
        <v>163</v>
      </c>
      <c r="C169" s="234">
        <f t="shared" si="29"/>
        <v>15117.2</v>
      </c>
      <c r="D169" s="234">
        <f t="shared" si="29"/>
        <v>19675.7</v>
      </c>
      <c r="E169" s="234">
        <f t="shared" si="30"/>
        <v>19276.012</v>
      </c>
      <c r="F169" s="235">
        <f t="shared" si="23"/>
        <v>-399.6880000000019</v>
      </c>
      <c r="G169" s="133">
        <f t="shared" si="24"/>
        <v>97.96862119263862</v>
      </c>
      <c r="H169" s="236"/>
      <c r="I169" s="236"/>
      <c r="J169" s="236"/>
      <c r="K169" s="351">
        <f t="shared" si="25"/>
        <v>0</v>
      </c>
      <c r="L169" s="352" t="e">
        <f t="shared" si="26"/>
        <v>#DIV/0!</v>
      </c>
      <c r="M169" s="234">
        <v>15117.2</v>
      </c>
      <c r="N169" s="234">
        <v>19675.7</v>
      </c>
      <c r="O169" s="234">
        <v>19276.012</v>
      </c>
      <c r="P169" s="235">
        <f t="shared" si="27"/>
        <v>-399.6880000000019</v>
      </c>
      <c r="Q169" s="133">
        <f t="shared" si="28"/>
        <v>97.96862119263862</v>
      </c>
    </row>
    <row r="170" spans="1:17" s="78" customFormat="1" ht="22.5" customHeight="1">
      <c r="A170" s="77" t="s">
        <v>462</v>
      </c>
      <c r="B170" s="81" t="s">
        <v>165</v>
      </c>
      <c r="C170" s="234">
        <f t="shared" si="29"/>
        <v>12000</v>
      </c>
      <c r="D170" s="234">
        <f t="shared" si="29"/>
        <v>12000</v>
      </c>
      <c r="E170" s="234">
        <f t="shared" si="30"/>
        <v>10961.8</v>
      </c>
      <c r="F170" s="235">
        <f t="shared" si="23"/>
        <v>-1038.2000000000007</v>
      </c>
      <c r="G170" s="133">
        <f t="shared" si="24"/>
        <v>91.34833333333333</v>
      </c>
      <c r="H170" s="236"/>
      <c r="I170" s="236"/>
      <c r="J170" s="236"/>
      <c r="K170" s="351">
        <f t="shared" si="25"/>
        <v>0</v>
      </c>
      <c r="L170" s="352" t="e">
        <f t="shared" si="26"/>
        <v>#DIV/0!</v>
      </c>
      <c r="M170" s="234">
        <v>12000</v>
      </c>
      <c r="N170" s="234">
        <v>12000</v>
      </c>
      <c r="O170" s="234">
        <v>10961.8</v>
      </c>
      <c r="P170" s="235">
        <f t="shared" si="27"/>
        <v>-1038.2000000000007</v>
      </c>
      <c r="Q170" s="133">
        <f t="shared" si="28"/>
        <v>91.34833333333333</v>
      </c>
    </row>
    <row r="171" spans="1:17" s="78" customFormat="1" ht="22.5" customHeight="1" hidden="1">
      <c r="A171" s="77" t="s">
        <v>294</v>
      </c>
      <c r="B171" s="81" t="s">
        <v>293</v>
      </c>
      <c r="C171" s="234">
        <f t="shared" si="29"/>
        <v>0</v>
      </c>
      <c r="D171" s="234">
        <f t="shared" si="29"/>
        <v>0</v>
      </c>
      <c r="E171" s="234">
        <f t="shared" si="30"/>
        <v>0</v>
      </c>
      <c r="F171" s="235">
        <f t="shared" si="23"/>
        <v>0</v>
      </c>
      <c r="G171" s="133" t="e">
        <f t="shared" si="24"/>
        <v>#DIV/0!</v>
      </c>
      <c r="H171" s="236"/>
      <c r="I171" s="236"/>
      <c r="J171" s="236"/>
      <c r="K171" s="351">
        <f t="shared" si="25"/>
        <v>0</v>
      </c>
      <c r="L171" s="352" t="e">
        <f t="shared" si="26"/>
        <v>#DIV/0!</v>
      </c>
      <c r="M171" s="234"/>
      <c r="N171" s="234"/>
      <c r="O171" s="234"/>
      <c r="P171" s="235">
        <f t="shared" si="27"/>
        <v>0</v>
      </c>
      <c r="Q171" s="133" t="e">
        <f t="shared" si="28"/>
        <v>#DIV/0!</v>
      </c>
    </row>
    <row r="172" spans="1:17" s="78" customFormat="1" ht="22.5" customHeight="1" hidden="1">
      <c r="A172" s="77" t="s">
        <v>147</v>
      </c>
      <c r="B172" s="81" t="s">
        <v>146</v>
      </c>
      <c r="C172" s="234">
        <f t="shared" si="29"/>
        <v>0</v>
      </c>
      <c r="D172" s="234">
        <f t="shared" si="29"/>
        <v>0</v>
      </c>
      <c r="E172" s="234">
        <f t="shared" si="30"/>
        <v>0</v>
      </c>
      <c r="F172" s="235">
        <f t="shared" si="23"/>
        <v>0</v>
      </c>
      <c r="G172" s="133" t="e">
        <f t="shared" si="24"/>
        <v>#DIV/0!</v>
      </c>
      <c r="H172" s="236"/>
      <c r="I172" s="236"/>
      <c r="J172" s="236"/>
      <c r="K172" s="351">
        <f t="shared" si="25"/>
        <v>0</v>
      </c>
      <c r="L172" s="352" t="e">
        <f t="shared" si="26"/>
        <v>#DIV/0!</v>
      </c>
      <c r="M172" s="234"/>
      <c r="N172" s="234"/>
      <c r="O172" s="234"/>
      <c r="P172" s="235">
        <f t="shared" si="27"/>
        <v>0</v>
      </c>
      <c r="Q172" s="133" t="e">
        <f t="shared" si="28"/>
        <v>#DIV/0!</v>
      </c>
    </row>
    <row r="173" spans="1:17" s="78" customFormat="1" ht="22.5" customHeight="1" hidden="1">
      <c r="A173" s="77" t="s">
        <v>296</v>
      </c>
      <c r="B173" s="81" t="s">
        <v>295</v>
      </c>
      <c r="C173" s="234">
        <f t="shared" si="29"/>
        <v>0</v>
      </c>
      <c r="D173" s="234">
        <f t="shared" si="29"/>
        <v>0</v>
      </c>
      <c r="E173" s="234">
        <f t="shared" si="30"/>
        <v>0</v>
      </c>
      <c r="F173" s="235">
        <f aca="true" t="shared" si="31" ref="F173:F236">E173-D173</f>
        <v>0</v>
      </c>
      <c r="G173" s="133" t="e">
        <f aca="true" t="shared" si="32" ref="G173:G236">E173/D173*100</f>
        <v>#DIV/0!</v>
      </c>
      <c r="H173" s="236"/>
      <c r="I173" s="236"/>
      <c r="J173" s="236"/>
      <c r="K173" s="351">
        <f aca="true" t="shared" si="33" ref="K173:K236">J173-I173</f>
        <v>0</v>
      </c>
      <c r="L173" s="352" t="e">
        <f aca="true" t="shared" si="34" ref="L173:L236">J173/I173*100</f>
        <v>#DIV/0!</v>
      </c>
      <c r="M173" s="234"/>
      <c r="N173" s="234"/>
      <c r="O173" s="234"/>
      <c r="P173" s="235">
        <f aca="true" t="shared" si="35" ref="P173:P236">O173-N173</f>
        <v>0</v>
      </c>
      <c r="Q173" s="133" t="e">
        <f aca="true" t="shared" si="36" ref="Q173:Q236">O173/N173*100</f>
        <v>#DIV/0!</v>
      </c>
    </row>
    <row r="174" spans="1:17" s="78" customFormat="1" ht="22.5" customHeight="1" hidden="1">
      <c r="A174" s="77" t="s">
        <v>149</v>
      </c>
      <c r="B174" s="81" t="s">
        <v>148</v>
      </c>
      <c r="C174" s="234">
        <f t="shared" si="29"/>
        <v>0</v>
      </c>
      <c r="D174" s="234">
        <f t="shared" si="29"/>
        <v>0</v>
      </c>
      <c r="E174" s="234">
        <f t="shared" si="30"/>
        <v>0</v>
      </c>
      <c r="F174" s="235">
        <f t="shared" si="31"/>
        <v>0</v>
      </c>
      <c r="G174" s="133" t="e">
        <f t="shared" si="32"/>
        <v>#DIV/0!</v>
      </c>
      <c r="H174" s="236"/>
      <c r="I174" s="236"/>
      <c r="J174" s="236"/>
      <c r="K174" s="351">
        <f t="shared" si="33"/>
        <v>0</v>
      </c>
      <c r="L174" s="352" t="e">
        <f t="shared" si="34"/>
        <v>#DIV/0!</v>
      </c>
      <c r="M174" s="234"/>
      <c r="N174" s="234"/>
      <c r="O174" s="234"/>
      <c r="P174" s="235">
        <f t="shared" si="35"/>
        <v>0</v>
      </c>
      <c r="Q174" s="133" t="e">
        <f t="shared" si="36"/>
        <v>#DIV/0!</v>
      </c>
    </row>
    <row r="175" spans="1:17" s="78" customFormat="1" ht="22.5" customHeight="1" hidden="1">
      <c r="A175" s="77" t="s">
        <v>298</v>
      </c>
      <c r="B175" s="81" t="s">
        <v>297</v>
      </c>
      <c r="C175" s="234">
        <f t="shared" si="29"/>
        <v>0</v>
      </c>
      <c r="D175" s="234">
        <f t="shared" si="29"/>
        <v>0</v>
      </c>
      <c r="E175" s="234">
        <f t="shared" si="30"/>
        <v>0</v>
      </c>
      <c r="F175" s="235">
        <f t="shared" si="31"/>
        <v>0</v>
      </c>
      <c r="G175" s="133" t="e">
        <f t="shared" si="32"/>
        <v>#DIV/0!</v>
      </c>
      <c r="H175" s="236"/>
      <c r="I175" s="236"/>
      <c r="J175" s="236"/>
      <c r="K175" s="351">
        <f t="shared" si="33"/>
        <v>0</v>
      </c>
      <c r="L175" s="352" t="e">
        <f t="shared" si="34"/>
        <v>#DIV/0!</v>
      </c>
      <c r="M175" s="234"/>
      <c r="N175" s="234"/>
      <c r="O175" s="234"/>
      <c r="P175" s="235">
        <f t="shared" si="35"/>
        <v>0</v>
      </c>
      <c r="Q175" s="133" t="e">
        <f t="shared" si="36"/>
        <v>#DIV/0!</v>
      </c>
    </row>
    <row r="176" spans="1:17" s="78" customFormat="1" ht="22.5" customHeight="1" hidden="1">
      <c r="A176" s="77" t="s">
        <v>151</v>
      </c>
      <c r="B176" s="81" t="s">
        <v>150</v>
      </c>
      <c r="C176" s="234">
        <f t="shared" si="29"/>
        <v>0</v>
      </c>
      <c r="D176" s="234">
        <f t="shared" si="29"/>
        <v>0</v>
      </c>
      <c r="E176" s="234">
        <f t="shared" si="30"/>
        <v>0</v>
      </c>
      <c r="F176" s="235">
        <f t="shared" si="31"/>
        <v>0</v>
      </c>
      <c r="G176" s="133" t="e">
        <f t="shared" si="32"/>
        <v>#DIV/0!</v>
      </c>
      <c r="H176" s="236"/>
      <c r="I176" s="236"/>
      <c r="J176" s="236"/>
      <c r="K176" s="351">
        <f t="shared" si="33"/>
        <v>0</v>
      </c>
      <c r="L176" s="352" t="e">
        <f t="shared" si="34"/>
        <v>#DIV/0!</v>
      </c>
      <c r="M176" s="234"/>
      <c r="N176" s="234"/>
      <c r="O176" s="234"/>
      <c r="P176" s="235">
        <f t="shared" si="35"/>
        <v>0</v>
      </c>
      <c r="Q176" s="133" t="e">
        <f t="shared" si="36"/>
        <v>#DIV/0!</v>
      </c>
    </row>
    <row r="177" spans="1:17" s="78" customFormat="1" ht="22.5" customHeight="1" hidden="1">
      <c r="A177" s="77" t="s">
        <v>300</v>
      </c>
      <c r="B177" s="81" t="s">
        <v>299</v>
      </c>
      <c r="C177" s="234">
        <f t="shared" si="29"/>
        <v>0</v>
      </c>
      <c r="D177" s="234">
        <f t="shared" si="29"/>
        <v>0</v>
      </c>
      <c r="E177" s="234">
        <f t="shared" si="30"/>
        <v>0</v>
      </c>
      <c r="F177" s="235">
        <f t="shared" si="31"/>
        <v>0</v>
      </c>
      <c r="G177" s="133" t="e">
        <f t="shared" si="32"/>
        <v>#DIV/0!</v>
      </c>
      <c r="H177" s="236"/>
      <c r="I177" s="236"/>
      <c r="J177" s="236"/>
      <c r="K177" s="351">
        <f t="shared" si="33"/>
        <v>0</v>
      </c>
      <c r="L177" s="352" t="e">
        <f t="shared" si="34"/>
        <v>#DIV/0!</v>
      </c>
      <c r="M177" s="234"/>
      <c r="N177" s="234"/>
      <c r="O177" s="234"/>
      <c r="P177" s="235">
        <f t="shared" si="35"/>
        <v>0</v>
      </c>
      <c r="Q177" s="133" t="e">
        <f t="shared" si="36"/>
        <v>#DIV/0!</v>
      </c>
    </row>
    <row r="178" spans="1:17" s="78" customFormat="1" ht="22.5" customHeight="1" hidden="1">
      <c r="A178" s="77" t="s">
        <v>153</v>
      </c>
      <c r="B178" s="81" t="s">
        <v>152</v>
      </c>
      <c r="C178" s="234">
        <f t="shared" si="29"/>
        <v>0</v>
      </c>
      <c r="D178" s="234">
        <f t="shared" si="29"/>
        <v>0</v>
      </c>
      <c r="E178" s="234">
        <f t="shared" si="30"/>
        <v>0</v>
      </c>
      <c r="F178" s="235">
        <f t="shared" si="31"/>
        <v>0</v>
      </c>
      <c r="G178" s="133" t="e">
        <f t="shared" si="32"/>
        <v>#DIV/0!</v>
      </c>
      <c r="H178" s="236"/>
      <c r="I178" s="236"/>
      <c r="J178" s="236"/>
      <c r="K178" s="351">
        <f t="shared" si="33"/>
        <v>0</v>
      </c>
      <c r="L178" s="352" t="e">
        <f t="shared" si="34"/>
        <v>#DIV/0!</v>
      </c>
      <c r="M178" s="234"/>
      <c r="N178" s="234"/>
      <c r="O178" s="234"/>
      <c r="P178" s="235">
        <f t="shared" si="35"/>
        <v>0</v>
      </c>
      <c r="Q178" s="133" t="e">
        <f t="shared" si="36"/>
        <v>#DIV/0!</v>
      </c>
    </row>
    <row r="179" spans="1:17" s="78" customFormat="1" ht="22.5" customHeight="1">
      <c r="A179" s="77" t="s">
        <v>155</v>
      </c>
      <c r="B179" s="81" t="s">
        <v>154</v>
      </c>
      <c r="C179" s="234">
        <f t="shared" si="29"/>
        <v>570</v>
      </c>
      <c r="D179" s="234">
        <f t="shared" si="29"/>
        <v>72</v>
      </c>
      <c r="E179" s="234">
        <f t="shared" si="30"/>
        <v>24</v>
      </c>
      <c r="F179" s="235">
        <f t="shared" si="31"/>
        <v>-48</v>
      </c>
      <c r="G179" s="133">
        <f t="shared" si="32"/>
        <v>33.33333333333333</v>
      </c>
      <c r="H179" s="236"/>
      <c r="I179" s="236"/>
      <c r="J179" s="236"/>
      <c r="K179" s="351">
        <f t="shared" si="33"/>
        <v>0</v>
      </c>
      <c r="L179" s="352" t="e">
        <f t="shared" si="34"/>
        <v>#DIV/0!</v>
      </c>
      <c r="M179" s="234">
        <v>570</v>
      </c>
      <c r="N179" s="234">
        <v>72</v>
      </c>
      <c r="O179" s="234">
        <v>24</v>
      </c>
      <c r="P179" s="235">
        <f t="shared" si="35"/>
        <v>-48</v>
      </c>
      <c r="Q179" s="133">
        <f t="shared" si="36"/>
        <v>33.33333333333333</v>
      </c>
    </row>
    <row r="180" spans="1:17" s="78" customFormat="1" ht="22.5" customHeight="1" hidden="1">
      <c r="A180" s="77" t="s">
        <v>192</v>
      </c>
      <c r="B180" s="81" t="s">
        <v>156</v>
      </c>
      <c r="C180" s="234">
        <f t="shared" si="29"/>
        <v>0</v>
      </c>
      <c r="D180" s="234">
        <f t="shared" si="29"/>
        <v>0</v>
      </c>
      <c r="E180" s="234">
        <f t="shared" si="30"/>
        <v>0</v>
      </c>
      <c r="F180" s="235">
        <f t="shared" si="31"/>
        <v>0</v>
      </c>
      <c r="G180" s="133" t="e">
        <f t="shared" si="32"/>
        <v>#DIV/0!</v>
      </c>
      <c r="H180" s="236"/>
      <c r="I180" s="236"/>
      <c r="J180" s="236"/>
      <c r="K180" s="351">
        <f t="shared" si="33"/>
        <v>0</v>
      </c>
      <c r="L180" s="352" t="e">
        <f t="shared" si="34"/>
        <v>#DIV/0!</v>
      </c>
      <c r="M180" s="234"/>
      <c r="N180" s="234"/>
      <c r="O180" s="234"/>
      <c r="P180" s="235">
        <f t="shared" si="35"/>
        <v>0</v>
      </c>
      <c r="Q180" s="133" t="e">
        <f t="shared" si="36"/>
        <v>#DIV/0!</v>
      </c>
    </row>
    <row r="181" spans="1:17" s="78" customFormat="1" ht="22.5" customHeight="1" hidden="1">
      <c r="A181" s="77" t="s">
        <v>158</v>
      </c>
      <c r="B181" s="81" t="s">
        <v>157</v>
      </c>
      <c r="C181" s="234">
        <f t="shared" si="29"/>
        <v>0</v>
      </c>
      <c r="D181" s="234">
        <f t="shared" si="29"/>
        <v>0</v>
      </c>
      <c r="E181" s="234">
        <f t="shared" si="30"/>
        <v>0</v>
      </c>
      <c r="F181" s="235">
        <f t="shared" si="31"/>
        <v>0</v>
      </c>
      <c r="G181" s="133" t="e">
        <f t="shared" si="32"/>
        <v>#DIV/0!</v>
      </c>
      <c r="H181" s="236"/>
      <c r="I181" s="236"/>
      <c r="J181" s="236"/>
      <c r="K181" s="351">
        <f t="shared" si="33"/>
        <v>0</v>
      </c>
      <c r="L181" s="352" t="e">
        <f t="shared" si="34"/>
        <v>#DIV/0!</v>
      </c>
      <c r="M181" s="234"/>
      <c r="N181" s="234"/>
      <c r="O181" s="234"/>
      <c r="P181" s="235">
        <f t="shared" si="35"/>
        <v>0</v>
      </c>
      <c r="Q181" s="133" t="e">
        <f t="shared" si="36"/>
        <v>#DIV/0!</v>
      </c>
    </row>
    <row r="182" spans="1:17" s="78" customFormat="1" ht="22.5" customHeight="1">
      <c r="A182" s="77" t="s">
        <v>464</v>
      </c>
      <c r="B182" s="81" t="s">
        <v>463</v>
      </c>
      <c r="C182" s="234">
        <f t="shared" si="29"/>
        <v>348.9</v>
      </c>
      <c r="D182" s="234">
        <f t="shared" si="29"/>
        <v>3379.214</v>
      </c>
      <c r="E182" s="234">
        <f t="shared" si="30"/>
        <v>3217.26</v>
      </c>
      <c r="F182" s="235">
        <f t="shared" si="31"/>
        <v>-161.95399999999972</v>
      </c>
      <c r="G182" s="133">
        <f t="shared" si="32"/>
        <v>95.20734703395523</v>
      </c>
      <c r="H182" s="236"/>
      <c r="I182" s="236"/>
      <c r="J182" s="236"/>
      <c r="K182" s="351">
        <f t="shared" si="33"/>
        <v>0</v>
      </c>
      <c r="L182" s="352" t="e">
        <f t="shared" si="34"/>
        <v>#DIV/0!</v>
      </c>
      <c r="M182" s="234">
        <v>348.9</v>
      </c>
      <c r="N182" s="234">
        <v>3379.214</v>
      </c>
      <c r="O182" s="234">
        <v>3217.26</v>
      </c>
      <c r="P182" s="235">
        <f t="shared" si="35"/>
        <v>-161.95399999999972</v>
      </c>
      <c r="Q182" s="133">
        <f t="shared" si="36"/>
        <v>95.20734703395523</v>
      </c>
    </row>
    <row r="183" spans="1:17" s="78" customFormat="1" ht="22.5" customHeight="1" hidden="1">
      <c r="A183" s="77" t="s">
        <v>466</v>
      </c>
      <c r="B183" s="81" t="s">
        <v>465</v>
      </c>
      <c r="C183" s="234">
        <f t="shared" si="29"/>
        <v>0</v>
      </c>
      <c r="D183" s="234">
        <f t="shared" si="29"/>
        <v>0</v>
      </c>
      <c r="E183" s="234">
        <f t="shared" si="30"/>
        <v>0</v>
      </c>
      <c r="F183" s="235">
        <f t="shared" si="31"/>
        <v>0</v>
      </c>
      <c r="G183" s="133" t="e">
        <f t="shared" si="32"/>
        <v>#DIV/0!</v>
      </c>
      <c r="H183" s="236"/>
      <c r="I183" s="236"/>
      <c r="J183" s="236"/>
      <c r="K183" s="351">
        <f t="shared" si="33"/>
        <v>0</v>
      </c>
      <c r="L183" s="352" t="e">
        <f t="shared" si="34"/>
        <v>#DIV/0!</v>
      </c>
      <c r="M183" s="234"/>
      <c r="N183" s="234"/>
      <c r="O183" s="234"/>
      <c r="P183" s="235">
        <f t="shared" si="35"/>
        <v>0</v>
      </c>
      <c r="Q183" s="133" t="e">
        <f t="shared" si="36"/>
        <v>#DIV/0!</v>
      </c>
    </row>
    <row r="184" spans="1:17" s="76" customFormat="1" ht="22.5" customHeight="1">
      <c r="A184" s="75" t="s">
        <v>160</v>
      </c>
      <c r="B184" s="80" t="s">
        <v>159</v>
      </c>
      <c r="C184" s="233">
        <f>H184+M184</f>
        <v>89903.4</v>
      </c>
      <c r="D184" s="233">
        <f>I184+N184</f>
        <v>104442.106</v>
      </c>
      <c r="E184" s="233">
        <f>J184+O184</f>
        <v>89044.091</v>
      </c>
      <c r="F184" s="232">
        <f t="shared" si="31"/>
        <v>-15398.015</v>
      </c>
      <c r="G184" s="82">
        <f t="shared" si="32"/>
        <v>85.25688959201952</v>
      </c>
      <c r="H184" s="210"/>
      <c r="I184" s="210"/>
      <c r="J184" s="210"/>
      <c r="K184" s="354">
        <f t="shared" si="33"/>
        <v>0</v>
      </c>
      <c r="L184" s="355" t="e">
        <f t="shared" si="34"/>
        <v>#DIV/0!</v>
      </c>
      <c r="M184" s="233">
        <v>89903.4</v>
      </c>
      <c r="N184" s="233">
        <v>104442.106</v>
      </c>
      <c r="O184" s="233">
        <v>89044.091</v>
      </c>
      <c r="P184" s="232">
        <f t="shared" si="35"/>
        <v>-15398.015</v>
      </c>
      <c r="Q184" s="82">
        <f t="shared" si="36"/>
        <v>85.25688959201952</v>
      </c>
    </row>
    <row r="185" spans="1:17" s="78" customFormat="1" ht="22.5" customHeight="1">
      <c r="A185" s="77"/>
      <c r="B185" s="81" t="s">
        <v>159</v>
      </c>
      <c r="C185" s="234"/>
      <c r="D185" s="234"/>
      <c r="E185" s="236"/>
      <c r="F185" s="232"/>
      <c r="G185" s="82"/>
      <c r="H185" s="236"/>
      <c r="I185" s="236"/>
      <c r="J185" s="236"/>
      <c r="K185" s="232"/>
      <c r="L185" s="82"/>
      <c r="M185" s="234"/>
      <c r="N185" s="234"/>
      <c r="O185" s="234"/>
      <c r="P185" s="232"/>
      <c r="Q185" s="82"/>
    </row>
    <row r="186" spans="1:17" s="76" customFormat="1" ht="22.5" customHeight="1">
      <c r="A186" s="75" t="s">
        <v>4</v>
      </c>
      <c r="B186" s="79"/>
      <c r="C186" s="233">
        <f>C187+C229</f>
        <v>14044293.7</v>
      </c>
      <c r="D186" s="233">
        <f>D187+D229</f>
        <v>17445158.4</v>
      </c>
      <c r="E186" s="233">
        <f>E187+E229</f>
        <v>16148583.078999996</v>
      </c>
      <c r="F186" s="232">
        <f t="shared" si="31"/>
        <v>-1296575.3210000023</v>
      </c>
      <c r="G186" s="82">
        <f t="shared" si="32"/>
        <v>92.56770680282271</v>
      </c>
      <c r="H186" s="233">
        <f>H187+H229</f>
        <v>13789469.799999999</v>
      </c>
      <c r="I186" s="233">
        <f>I187+I229</f>
        <v>17181958.599999998</v>
      </c>
      <c r="J186" s="233">
        <f>J187+J229</f>
        <v>15901877.617</v>
      </c>
      <c r="K186" s="232">
        <f t="shared" si="33"/>
        <v>-1280080.9829999972</v>
      </c>
      <c r="L186" s="82">
        <f t="shared" si="34"/>
        <v>92.5498541068537</v>
      </c>
      <c r="M186" s="233">
        <f>M187+M229</f>
        <v>254823.89999999997</v>
      </c>
      <c r="N186" s="233">
        <f>N187+N229</f>
        <v>263199.80000000005</v>
      </c>
      <c r="O186" s="233">
        <f>O187+O229</f>
        <v>246705.46200000003</v>
      </c>
      <c r="P186" s="232">
        <f t="shared" si="35"/>
        <v>-16494.338000000018</v>
      </c>
      <c r="Q186" s="82">
        <f t="shared" si="36"/>
        <v>93.73314949327468</v>
      </c>
    </row>
    <row r="187" spans="1:17" s="76" customFormat="1" ht="22.5" customHeight="1">
      <c r="A187" s="75" t="s">
        <v>130</v>
      </c>
      <c r="B187" s="80"/>
      <c r="C187" s="233">
        <f>C188+C189+C190+C191+C192+C193+C194+C195+C196+C197+C198+C199+C200+C201+C202+C203+C204+C205+C206+C207+C208+C209+C210+C211+C212+C213+C214+C215+C216+C217+C218+C219+C220+C221+C222+C223+C224+C225+C226+C227+C228</f>
        <v>12094411.5</v>
      </c>
      <c r="D187" s="233">
        <f>D188+D189+D190+D191+D192+D193+D194+D195+D196+D197+D198+D199+D200+D201+D202+D203+D204+D205+D206+D207+D208+D209+D210+D211+D212+D213+D214+D215+D216+D217+D218+D219+D220+D221+D222+D223+D224+D225+D226+D227+D228</f>
        <v>15292213.5</v>
      </c>
      <c r="E187" s="233">
        <f>E188+E189+E190+E191+E192+E193+E194+E195+E196+E197+E198+E199+E200+E201+E202+E203+E204+E205+E206+E207+E208+E209+E210+E211+E212+E213+E214+E215+E216+E217+E218+E219+E220+E221+E222+E223+E224+E225+E226+E227+E228</f>
        <v>14507901.581999997</v>
      </c>
      <c r="F187" s="232">
        <f t="shared" si="31"/>
        <v>-784311.9180000033</v>
      </c>
      <c r="G187" s="82">
        <f t="shared" si="32"/>
        <v>94.87116814057033</v>
      </c>
      <c r="H187" s="233">
        <f>H188+H189+H190+H191+H192+H193+H194+H195+H196+H197+H198+H199+H200+H201+H202+H203+H204+H205+H206+H207+H208+H209+H210+H211+H212+H213+H214+H215+H216+H217+H218+H219+H220+H221+H222+H223+H224+H225+H226+H227+H228</f>
        <v>11849704.399999999</v>
      </c>
      <c r="I187" s="233">
        <f>I188+I189+I190+I191+I192+I193+I194+I195+I196+I197+I198+I199+I200+I201+I202+I203+I204+I205+I206+I207+I208+I209+I210+I211+I212+I213+I214+I215+I216+I217+I218+I219+I220+I221+I222+I223+I224+I225+I226+I227+I228</f>
        <v>15040461.899999997</v>
      </c>
      <c r="J187" s="233">
        <f>J188+J189+J190+J191+J192+J193+J194+J195+J196+J197+J198+J199+J200+J201+J202+J203+J204+J205+J206+J207+J208+J209+J210+J211+J212+J213+J214+J215+J216+J217+J218+J219+J220+J221+J222+J223+J224+J225+J226+J227+J228</f>
        <v>14269798.092</v>
      </c>
      <c r="K187" s="232">
        <f t="shared" si="33"/>
        <v>-770663.8079999965</v>
      </c>
      <c r="L187" s="82">
        <f t="shared" si="34"/>
        <v>94.87606289538223</v>
      </c>
      <c r="M187" s="233">
        <f>M188+M189+M190+M191+M192+M193+M194+M195+M196+M197+M198+M199+M200+M201+M202+M203+M204+M205+M206+M207+M208+M209+M210+M211+M212+M213+M214+M215+M216+M217+M218+M219+M220+M221+M222+M223+M224+M225+M226+M227+M228</f>
        <v>244707.09999999998</v>
      </c>
      <c r="N187" s="233">
        <f>N188+N189+N190+N191+N192+N193+N194+N195+N196+N197+N198+N199+N200+N201+N202+N203+N204+N205+N206+N207+N208+N209+N210+N211+N212+N213+N214+N215+N216+N217+N218+N219+N220+N221+N222+N223+N224+N225+N226+N227+N228</f>
        <v>251751.60000000003</v>
      </c>
      <c r="O187" s="233">
        <f>O188+O189+O190+O191+O192+O193+O194+O195+O196+O197+O198+O199+O200+O201+O202+O203+O204+O205+O206+O207+O208+O209+O210+O211+O212+O213+O214+O215+O216+O217+O218+O219+O220+O221+O222+O223+O224+O225+O226+O227+O228</f>
        <v>238103.49000000002</v>
      </c>
      <c r="P187" s="232">
        <f t="shared" si="35"/>
        <v>-13648.110000000015</v>
      </c>
      <c r="Q187" s="82">
        <f t="shared" si="36"/>
        <v>94.57873951943105</v>
      </c>
    </row>
    <row r="188" spans="1:17" s="78" customFormat="1" ht="22.5" customHeight="1">
      <c r="A188" s="77" t="s">
        <v>132</v>
      </c>
      <c r="B188" s="81" t="s">
        <v>131</v>
      </c>
      <c r="C188" s="234">
        <f>H188+M188</f>
        <v>901775.8999999999</v>
      </c>
      <c r="D188" s="234">
        <f>I188+N188</f>
        <v>905355.2</v>
      </c>
      <c r="E188" s="234">
        <f>J188+O188</f>
        <v>895699.303</v>
      </c>
      <c r="F188" s="235">
        <f t="shared" si="31"/>
        <v>-9655.896999999997</v>
      </c>
      <c r="G188" s="133">
        <f t="shared" si="32"/>
        <v>98.9334686540708</v>
      </c>
      <c r="H188" s="236">
        <v>732530.6</v>
      </c>
      <c r="I188" s="236">
        <v>735829.6</v>
      </c>
      <c r="J188" s="236">
        <v>732054.07</v>
      </c>
      <c r="K188" s="235">
        <f t="shared" si="33"/>
        <v>-3775.530000000028</v>
      </c>
      <c r="L188" s="133">
        <f t="shared" si="34"/>
        <v>99.48690158699786</v>
      </c>
      <c r="M188" s="234">
        <v>169245.3</v>
      </c>
      <c r="N188" s="234">
        <v>169525.6</v>
      </c>
      <c r="O188" s="234">
        <v>163645.233</v>
      </c>
      <c r="P188" s="235">
        <f t="shared" si="35"/>
        <v>-5880.366999999998</v>
      </c>
      <c r="Q188" s="133">
        <f t="shared" si="36"/>
        <v>96.53128082130368</v>
      </c>
    </row>
    <row r="189" spans="1:17" s="78" customFormat="1" ht="22.5" customHeight="1">
      <c r="A189" s="77" t="s">
        <v>134</v>
      </c>
      <c r="B189" s="81" t="s">
        <v>133</v>
      </c>
      <c r="C189" s="234">
        <f aca="true" t="shared" si="37" ref="C189:D228">H189+M189</f>
        <v>142983.2</v>
      </c>
      <c r="D189" s="234">
        <f t="shared" si="37"/>
        <v>142821.4</v>
      </c>
      <c r="E189" s="234">
        <f>J189+O189</f>
        <v>139527.22699999998</v>
      </c>
      <c r="F189" s="235">
        <f t="shared" si="31"/>
        <v>-3294.17300000001</v>
      </c>
      <c r="G189" s="133">
        <f t="shared" si="32"/>
        <v>97.69350181415389</v>
      </c>
      <c r="H189" s="236">
        <v>113924.1</v>
      </c>
      <c r="I189" s="236">
        <v>113814.2</v>
      </c>
      <c r="J189" s="236">
        <v>111952.805</v>
      </c>
      <c r="K189" s="235">
        <f t="shared" si="33"/>
        <v>-1861.395000000004</v>
      </c>
      <c r="L189" s="133">
        <f t="shared" si="34"/>
        <v>98.36453184224816</v>
      </c>
      <c r="M189" s="234">
        <v>29059.1</v>
      </c>
      <c r="N189" s="234">
        <v>29007.2</v>
      </c>
      <c r="O189" s="234">
        <v>27574.422</v>
      </c>
      <c r="P189" s="235">
        <f t="shared" si="35"/>
        <v>-1432.778000000002</v>
      </c>
      <c r="Q189" s="133">
        <f t="shared" si="36"/>
        <v>95.06061253757687</v>
      </c>
    </row>
    <row r="190" spans="1:17" s="78" customFormat="1" ht="22.5" customHeight="1">
      <c r="A190" s="77" t="s">
        <v>136</v>
      </c>
      <c r="B190" s="81" t="s">
        <v>135</v>
      </c>
      <c r="C190" s="234">
        <f t="shared" si="37"/>
        <v>6536.8</v>
      </c>
      <c r="D190" s="234">
        <f t="shared" si="37"/>
        <v>14601.2</v>
      </c>
      <c r="E190" s="234">
        <f>J190+O190</f>
        <v>10170.803</v>
      </c>
      <c r="F190" s="235">
        <f t="shared" si="31"/>
        <v>-4430.397000000001</v>
      </c>
      <c r="G190" s="133">
        <f t="shared" si="32"/>
        <v>69.65730898830232</v>
      </c>
      <c r="H190" s="236">
        <v>6536.8</v>
      </c>
      <c r="I190" s="236">
        <v>14580.6</v>
      </c>
      <c r="J190" s="236">
        <v>10150.203</v>
      </c>
      <c r="K190" s="235">
        <f t="shared" si="33"/>
        <v>-4430.397000000001</v>
      </c>
      <c r="L190" s="133">
        <f t="shared" si="34"/>
        <v>69.61443973499033</v>
      </c>
      <c r="M190" s="234"/>
      <c r="N190" s="234">
        <v>20.6</v>
      </c>
      <c r="O190" s="234">
        <v>20.6</v>
      </c>
      <c r="P190" s="351">
        <f t="shared" si="35"/>
        <v>0</v>
      </c>
      <c r="Q190" s="133">
        <f t="shared" si="36"/>
        <v>100</v>
      </c>
    </row>
    <row r="191" spans="1:17" s="78" customFormat="1" ht="22.5" customHeight="1">
      <c r="A191" s="77" t="s">
        <v>443</v>
      </c>
      <c r="B191" s="81" t="s">
        <v>137</v>
      </c>
      <c r="C191" s="234">
        <f t="shared" si="37"/>
        <v>4003</v>
      </c>
      <c r="D191" s="234">
        <f t="shared" si="37"/>
        <v>4305.7</v>
      </c>
      <c r="E191" s="234">
        <f>J191+O191</f>
        <v>3878.348</v>
      </c>
      <c r="F191" s="235">
        <f t="shared" si="31"/>
        <v>-427.35199999999986</v>
      </c>
      <c r="G191" s="133">
        <f t="shared" si="32"/>
        <v>90.0747381378173</v>
      </c>
      <c r="H191" s="234">
        <v>3894.2</v>
      </c>
      <c r="I191" s="234">
        <v>4196.9</v>
      </c>
      <c r="J191" s="234">
        <v>3774.048</v>
      </c>
      <c r="K191" s="235">
        <f t="shared" si="33"/>
        <v>-422.85199999999986</v>
      </c>
      <c r="L191" s="133">
        <f t="shared" si="34"/>
        <v>89.9246586766423</v>
      </c>
      <c r="M191" s="234">
        <v>108.8</v>
      </c>
      <c r="N191" s="234">
        <v>108.8</v>
      </c>
      <c r="O191" s="234">
        <v>104.3</v>
      </c>
      <c r="P191" s="235">
        <f t="shared" si="35"/>
        <v>-4.5</v>
      </c>
      <c r="Q191" s="133">
        <f t="shared" si="36"/>
        <v>95.86397058823529</v>
      </c>
    </row>
    <row r="192" spans="1:17" s="78" customFormat="1" ht="22.5" customHeight="1">
      <c r="A192" s="77" t="s">
        <v>9</v>
      </c>
      <c r="B192" s="81" t="s">
        <v>138</v>
      </c>
      <c r="C192" s="234">
        <f t="shared" si="37"/>
        <v>300</v>
      </c>
      <c r="D192" s="234">
        <f t="shared" si="37"/>
        <v>231.7</v>
      </c>
      <c r="E192" s="234">
        <f aca="true" t="shared" si="38" ref="E192:E228">J192+O192</f>
        <v>231.7</v>
      </c>
      <c r="F192" s="351">
        <f t="shared" si="31"/>
        <v>0</v>
      </c>
      <c r="G192" s="133">
        <f t="shared" si="32"/>
        <v>100</v>
      </c>
      <c r="H192" s="236">
        <v>300</v>
      </c>
      <c r="I192" s="236">
        <v>231.7</v>
      </c>
      <c r="J192" s="236">
        <v>231.7</v>
      </c>
      <c r="K192" s="351">
        <f t="shared" si="33"/>
        <v>0</v>
      </c>
      <c r="L192" s="133">
        <f t="shared" si="34"/>
        <v>100</v>
      </c>
      <c r="M192" s="234"/>
      <c r="N192" s="234"/>
      <c r="O192" s="234"/>
      <c r="P192" s="351">
        <f t="shared" si="35"/>
        <v>0</v>
      </c>
      <c r="Q192" s="352" t="e">
        <f t="shared" si="36"/>
        <v>#DIV/0!</v>
      </c>
    </row>
    <row r="193" spans="1:17" s="78" customFormat="1" ht="22.5" customHeight="1">
      <c r="A193" s="77" t="s">
        <v>140</v>
      </c>
      <c r="B193" s="81" t="s">
        <v>139</v>
      </c>
      <c r="C193" s="234">
        <f t="shared" si="37"/>
        <v>41414.5</v>
      </c>
      <c r="D193" s="234">
        <f t="shared" si="37"/>
        <v>49643.100000000006</v>
      </c>
      <c r="E193" s="234">
        <f t="shared" si="38"/>
        <v>43060.656</v>
      </c>
      <c r="F193" s="235">
        <f t="shared" si="31"/>
        <v>-6582.444000000003</v>
      </c>
      <c r="G193" s="133">
        <f t="shared" si="32"/>
        <v>86.74046544232733</v>
      </c>
      <c r="H193" s="236">
        <v>10723.8</v>
      </c>
      <c r="I193" s="236">
        <v>18952.4</v>
      </c>
      <c r="J193" s="236">
        <v>17160.656</v>
      </c>
      <c r="K193" s="235">
        <f t="shared" si="33"/>
        <v>-1791.7440000000024</v>
      </c>
      <c r="L193" s="133">
        <f t="shared" si="34"/>
        <v>90.54608387328253</v>
      </c>
      <c r="M193" s="234">
        <v>30690.7</v>
      </c>
      <c r="N193" s="234">
        <v>30690.7</v>
      </c>
      <c r="O193" s="234">
        <v>25900</v>
      </c>
      <c r="P193" s="235">
        <f t="shared" si="35"/>
        <v>-4790.700000000001</v>
      </c>
      <c r="Q193" s="133">
        <f t="shared" si="36"/>
        <v>84.39038536103772</v>
      </c>
    </row>
    <row r="194" spans="1:17" s="78" customFormat="1" ht="22.5" customHeight="1">
      <c r="A194" s="77" t="s">
        <v>444</v>
      </c>
      <c r="B194" s="81" t="s">
        <v>141</v>
      </c>
      <c r="C194" s="234">
        <f t="shared" si="37"/>
        <v>473001.4</v>
      </c>
      <c r="D194" s="234">
        <f t="shared" si="37"/>
        <v>480622.9</v>
      </c>
      <c r="E194" s="234">
        <f t="shared" si="38"/>
        <v>332196.058</v>
      </c>
      <c r="F194" s="235">
        <f t="shared" si="31"/>
        <v>-148426.842</v>
      </c>
      <c r="G194" s="133">
        <f t="shared" si="32"/>
        <v>69.11781731582079</v>
      </c>
      <c r="H194" s="234">
        <v>468490</v>
      </c>
      <c r="I194" s="234">
        <v>476561.2</v>
      </c>
      <c r="J194" s="240">
        <v>328337.26</v>
      </c>
      <c r="K194" s="235">
        <f t="shared" si="33"/>
        <v>-148223.94</v>
      </c>
      <c r="L194" s="133">
        <f t="shared" si="34"/>
        <v>68.89718676216192</v>
      </c>
      <c r="M194" s="234">
        <v>4511.4</v>
      </c>
      <c r="N194" s="234">
        <v>4061.7</v>
      </c>
      <c r="O194" s="234">
        <v>3858.798</v>
      </c>
      <c r="P194" s="235">
        <f t="shared" si="35"/>
        <v>-202.90200000000004</v>
      </c>
      <c r="Q194" s="133">
        <f t="shared" si="36"/>
        <v>95.00450550262205</v>
      </c>
    </row>
    <row r="195" spans="1:17" s="78" customFormat="1" ht="22.5" customHeight="1">
      <c r="A195" s="77" t="s">
        <v>290</v>
      </c>
      <c r="B195" s="81" t="s">
        <v>285</v>
      </c>
      <c r="C195" s="234">
        <f t="shared" si="37"/>
        <v>9324180.3</v>
      </c>
      <c r="D195" s="234">
        <f t="shared" si="37"/>
        <v>12763329.9</v>
      </c>
      <c r="E195" s="234">
        <f t="shared" si="38"/>
        <v>12285582.542</v>
      </c>
      <c r="F195" s="235">
        <f t="shared" si="31"/>
        <v>-477747.35800000094</v>
      </c>
      <c r="G195" s="133">
        <f t="shared" si="32"/>
        <v>96.25687526889044</v>
      </c>
      <c r="H195" s="236">
        <v>9324180.3</v>
      </c>
      <c r="I195" s="236">
        <v>12763329.9</v>
      </c>
      <c r="J195" s="236">
        <v>12285582.542</v>
      </c>
      <c r="K195" s="235">
        <f t="shared" si="33"/>
        <v>-477747.35800000094</v>
      </c>
      <c r="L195" s="133">
        <f t="shared" si="34"/>
        <v>96.25687526889044</v>
      </c>
      <c r="M195" s="234"/>
      <c r="N195" s="234"/>
      <c r="O195" s="234"/>
      <c r="P195" s="351">
        <f t="shared" si="35"/>
        <v>0</v>
      </c>
      <c r="Q195" s="352" t="e">
        <f t="shared" si="36"/>
        <v>#DIV/0!</v>
      </c>
    </row>
    <row r="196" spans="1:17" s="78" customFormat="1" ht="22.5" customHeight="1">
      <c r="A196" s="77" t="s">
        <v>519</v>
      </c>
      <c r="B196" s="81" t="s">
        <v>286</v>
      </c>
      <c r="C196" s="234">
        <f t="shared" si="37"/>
        <v>595597.9</v>
      </c>
      <c r="D196" s="234">
        <f t="shared" si="37"/>
        <v>754005.1</v>
      </c>
      <c r="E196" s="234">
        <f t="shared" si="38"/>
        <v>644747.822</v>
      </c>
      <c r="F196" s="235">
        <f t="shared" si="31"/>
        <v>-109257.27799999993</v>
      </c>
      <c r="G196" s="133">
        <f t="shared" si="32"/>
        <v>85.50974283860945</v>
      </c>
      <c r="H196" s="236">
        <v>595097.9</v>
      </c>
      <c r="I196" s="236">
        <v>753505.1</v>
      </c>
      <c r="J196" s="236">
        <v>644747.822</v>
      </c>
      <c r="K196" s="235">
        <f t="shared" si="33"/>
        <v>-108757.27799999993</v>
      </c>
      <c r="L196" s="133">
        <f t="shared" si="34"/>
        <v>85.56648415518356</v>
      </c>
      <c r="M196" s="234">
        <v>500</v>
      </c>
      <c r="N196" s="234">
        <v>500</v>
      </c>
      <c r="O196" s="234"/>
      <c r="P196" s="235">
        <f t="shared" si="35"/>
        <v>-500</v>
      </c>
      <c r="Q196" s="352">
        <f t="shared" si="36"/>
        <v>0</v>
      </c>
    </row>
    <row r="197" spans="1:17" s="78" customFormat="1" ht="22.5" customHeight="1">
      <c r="A197" s="77" t="s">
        <v>169</v>
      </c>
      <c r="B197" s="81" t="s">
        <v>287</v>
      </c>
      <c r="C197" s="234">
        <f t="shared" si="37"/>
        <v>64137.5</v>
      </c>
      <c r="D197" s="234">
        <f t="shared" si="37"/>
        <v>68289.5</v>
      </c>
      <c r="E197" s="234">
        <f t="shared" si="38"/>
        <v>64094.516</v>
      </c>
      <c r="F197" s="235">
        <f t="shared" si="31"/>
        <v>-4194.983999999997</v>
      </c>
      <c r="G197" s="133">
        <f t="shared" si="32"/>
        <v>93.85705855219324</v>
      </c>
      <c r="H197" s="236">
        <v>61205.7</v>
      </c>
      <c r="I197" s="236">
        <v>65357.7</v>
      </c>
      <c r="J197" s="236">
        <v>61196.51</v>
      </c>
      <c r="K197" s="235">
        <f t="shared" si="33"/>
        <v>-4161.189999999995</v>
      </c>
      <c r="L197" s="133">
        <f t="shared" si="34"/>
        <v>93.63320618687622</v>
      </c>
      <c r="M197" s="234">
        <v>2931.8</v>
      </c>
      <c r="N197" s="234">
        <v>2931.8</v>
      </c>
      <c r="O197" s="234">
        <v>2898.006</v>
      </c>
      <c r="P197" s="235">
        <f t="shared" si="35"/>
        <v>-33.794000000000324</v>
      </c>
      <c r="Q197" s="133">
        <f t="shared" si="36"/>
        <v>98.847329285763</v>
      </c>
    </row>
    <row r="198" spans="1:17" s="78" customFormat="1" ht="22.5" customHeight="1">
      <c r="A198" s="77" t="s">
        <v>446</v>
      </c>
      <c r="B198" s="81" t="s">
        <v>445</v>
      </c>
      <c r="C198" s="234">
        <f t="shared" si="37"/>
        <v>26396</v>
      </c>
      <c r="D198" s="234">
        <f t="shared" si="37"/>
        <v>13974.3</v>
      </c>
      <c r="E198" s="234">
        <f t="shared" si="38"/>
        <v>9822.972</v>
      </c>
      <c r="F198" s="235">
        <f t="shared" si="31"/>
        <v>-4151.3279999999995</v>
      </c>
      <c r="G198" s="133">
        <f t="shared" si="32"/>
        <v>70.29312380584358</v>
      </c>
      <c r="H198" s="236">
        <v>21321.6</v>
      </c>
      <c r="I198" s="236">
        <v>8475.4</v>
      </c>
      <c r="J198" s="236">
        <v>4952.541</v>
      </c>
      <c r="K198" s="235">
        <f t="shared" si="33"/>
        <v>-3522.8589999999995</v>
      </c>
      <c r="L198" s="133">
        <f t="shared" si="34"/>
        <v>58.434303985652605</v>
      </c>
      <c r="M198" s="234">
        <v>5074.4</v>
      </c>
      <c r="N198" s="234">
        <v>5498.9</v>
      </c>
      <c r="O198" s="234">
        <v>4870.431</v>
      </c>
      <c r="P198" s="235">
        <f t="shared" si="35"/>
        <v>-628.469</v>
      </c>
      <c r="Q198" s="133">
        <f t="shared" si="36"/>
        <v>88.57100511011294</v>
      </c>
    </row>
    <row r="199" spans="1:17" s="78" customFormat="1" ht="22.5" customHeight="1">
      <c r="A199" s="77" t="s">
        <v>448</v>
      </c>
      <c r="B199" s="81" t="s">
        <v>447</v>
      </c>
      <c r="C199" s="234">
        <f t="shared" si="37"/>
        <v>12402.7</v>
      </c>
      <c r="D199" s="234">
        <f t="shared" si="37"/>
        <v>20720.300000000003</v>
      </c>
      <c r="E199" s="234">
        <f t="shared" si="38"/>
        <v>14221.93</v>
      </c>
      <c r="F199" s="235">
        <f t="shared" si="31"/>
        <v>-6498.370000000003</v>
      </c>
      <c r="G199" s="133">
        <f t="shared" si="32"/>
        <v>68.63766451257945</v>
      </c>
      <c r="H199" s="236">
        <v>12185.1</v>
      </c>
      <c r="I199" s="236">
        <v>20421.9</v>
      </c>
      <c r="J199" s="236">
        <v>13944.73</v>
      </c>
      <c r="K199" s="235">
        <f t="shared" si="33"/>
        <v>-6477.170000000002</v>
      </c>
      <c r="L199" s="133">
        <f t="shared" si="34"/>
        <v>68.28321556760145</v>
      </c>
      <c r="M199" s="234">
        <v>217.6</v>
      </c>
      <c r="N199" s="234">
        <v>298.4</v>
      </c>
      <c r="O199" s="234">
        <v>277.2</v>
      </c>
      <c r="P199" s="235">
        <f t="shared" si="35"/>
        <v>-21.19999999999999</v>
      </c>
      <c r="Q199" s="133">
        <f t="shared" si="36"/>
        <v>92.89544235924933</v>
      </c>
    </row>
    <row r="200" spans="1:17" s="78" customFormat="1" ht="22.5" customHeight="1">
      <c r="A200" s="77" t="s">
        <v>170</v>
      </c>
      <c r="B200" s="81" t="s">
        <v>449</v>
      </c>
      <c r="C200" s="234">
        <f t="shared" si="37"/>
        <v>71.5</v>
      </c>
      <c r="D200" s="234">
        <f t="shared" si="37"/>
        <v>141.7</v>
      </c>
      <c r="E200" s="234">
        <f t="shared" si="38"/>
        <v>41.7</v>
      </c>
      <c r="F200" s="235">
        <f t="shared" si="31"/>
        <v>-99.99999999999999</v>
      </c>
      <c r="G200" s="133">
        <f t="shared" si="32"/>
        <v>29.428369795342274</v>
      </c>
      <c r="H200" s="236">
        <v>71.5</v>
      </c>
      <c r="I200" s="236">
        <v>141.7</v>
      </c>
      <c r="J200" s="236">
        <v>41.7</v>
      </c>
      <c r="K200" s="235">
        <f t="shared" si="33"/>
        <v>-99.99999999999999</v>
      </c>
      <c r="L200" s="133">
        <f t="shared" si="34"/>
        <v>29.428369795342274</v>
      </c>
      <c r="M200" s="234"/>
      <c r="N200" s="234"/>
      <c r="O200" s="234"/>
      <c r="P200" s="351">
        <f t="shared" si="35"/>
        <v>0</v>
      </c>
      <c r="Q200" s="352" t="e">
        <f t="shared" si="36"/>
        <v>#DIV/0!</v>
      </c>
    </row>
    <row r="201" spans="1:17" s="78" customFormat="1" ht="22.5" customHeight="1">
      <c r="A201" s="77" t="s">
        <v>451</v>
      </c>
      <c r="B201" s="81" t="s">
        <v>450</v>
      </c>
      <c r="C201" s="234">
        <f t="shared" si="37"/>
        <v>560.8</v>
      </c>
      <c r="D201" s="234">
        <f t="shared" si="37"/>
        <v>1710.1</v>
      </c>
      <c r="E201" s="234">
        <f t="shared" si="38"/>
        <v>1309.358</v>
      </c>
      <c r="F201" s="235">
        <f t="shared" si="31"/>
        <v>-400.74199999999996</v>
      </c>
      <c r="G201" s="133">
        <f t="shared" si="32"/>
        <v>76.56616572130285</v>
      </c>
      <c r="H201" s="236">
        <v>560.8</v>
      </c>
      <c r="I201" s="236">
        <v>1710.1</v>
      </c>
      <c r="J201" s="236">
        <v>1309.358</v>
      </c>
      <c r="K201" s="235">
        <f t="shared" si="33"/>
        <v>-400.74199999999996</v>
      </c>
      <c r="L201" s="133">
        <f t="shared" si="34"/>
        <v>76.56616572130285</v>
      </c>
      <c r="M201" s="234"/>
      <c r="N201" s="234"/>
      <c r="O201" s="234"/>
      <c r="P201" s="351">
        <f t="shared" si="35"/>
        <v>0</v>
      </c>
      <c r="Q201" s="352" t="e">
        <f t="shared" si="36"/>
        <v>#DIV/0!</v>
      </c>
    </row>
    <row r="202" spans="1:17" s="78" customFormat="1" ht="22.5" customHeight="1">
      <c r="A202" s="77" t="s">
        <v>453</v>
      </c>
      <c r="B202" s="81" t="s">
        <v>452</v>
      </c>
      <c r="C202" s="234">
        <f t="shared" si="37"/>
        <v>2201.2</v>
      </c>
      <c r="D202" s="234">
        <f t="shared" si="37"/>
        <v>2501.2</v>
      </c>
      <c r="E202" s="234">
        <f t="shared" si="38"/>
        <v>2490</v>
      </c>
      <c r="F202" s="235">
        <f t="shared" si="31"/>
        <v>-11.199999999999818</v>
      </c>
      <c r="G202" s="133">
        <f t="shared" si="32"/>
        <v>99.55221493683032</v>
      </c>
      <c r="H202" s="236">
        <v>1949.2</v>
      </c>
      <c r="I202" s="236">
        <v>2249.2</v>
      </c>
      <c r="J202" s="236">
        <v>2240</v>
      </c>
      <c r="K202" s="235">
        <f t="shared" si="33"/>
        <v>-9.199999999999818</v>
      </c>
      <c r="L202" s="133">
        <f t="shared" si="34"/>
        <v>99.59096567668504</v>
      </c>
      <c r="M202" s="234">
        <v>252</v>
      </c>
      <c r="N202" s="234">
        <v>252</v>
      </c>
      <c r="O202" s="234">
        <v>250</v>
      </c>
      <c r="P202" s="235">
        <f t="shared" si="35"/>
        <v>-2</v>
      </c>
      <c r="Q202" s="133">
        <f t="shared" si="36"/>
        <v>99.20634920634922</v>
      </c>
    </row>
    <row r="203" spans="1:17" s="78" customFormat="1" ht="22.5" customHeight="1" hidden="1">
      <c r="A203" s="77" t="s">
        <v>455</v>
      </c>
      <c r="B203" s="81" t="s">
        <v>454</v>
      </c>
      <c r="C203" s="234">
        <f t="shared" si="37"/>
        <v>0</v>
      </c>
      <c r="D203" s="234">
        <f t="shared" si="37"/>
        <v>0</v>
      </c>
      <c r="E203" s="234">
        <f t="shared" si="38"/>
        <v>0</v>
      </c>
      <c r="F203" s="235">
        <f t="shared" si="31"/>
        <v>0</v>
      </c>
      <c r="G203" s="133" t="e">
        <f t="shared" si="32"/>
        <v>#DIV/0!</v>
      </c>
      <c r="H203" s="236"/>
      <c r="I203" s="236"/>
      <c r="J203" s="236"/>
      <c r="K203" s="235">
        <f t="shared" si="33"/>
        <v>0</v>
      </c>
      <c r="L203" s="133" t="e">
        <f t="shared" si="34"/>
        <v>#DIV/0!</v>
      </c>
      <c r="M203" s="234"/>
      <c r="N203" s="234"/>
      <c r="O203" s="234"/>
      <c r="P203" s="235">
        <f t="shared" si="35"/>
        <v>0</v>
      </c>
      <c r="Q203" s="133" t="e">
        <f t="shared" si="36"/>
        <v>#DIV/0!</v>
      </c>
    </row>
    <row r="204" spans="1:17" s="78" customFormat="1" ht="22.5" customHeight="1">
      <c r="A204" s="77" t="s">
        <v>543</v>
      </c>
      <c r="B204" s="81" t="s">
        <v>456</v>
      </c>
      <c r="C204" s="234">
        <f t="shared" si="37"/>
        <v>68479.1</v>
      </c>
      <c r="D204" s="234">
        <f t="shared" si="37"/>
        <v>60553.299999999996</v>
      </c>
      <c r="E204" s="234">
        <f t="shared" si="38"/>
        <v>51558.635</v>
      </c>
      <c r="F204" s="235">
        <f t="shared" si="31"/>
        <v>-8994.664999999994</v>
      </c>
      <c r="G204" s="133">
        <f t="shared" si="32"/>
        <v>85.14587148842425</v>
      </c>
      <c r="H204" s="236">
        <v>66363.1</v>
      </c>
      <c r="I204" s="236">
        <v>58490.6</v>
      </c>
      <c r="J204" s="236">
        <v>49647.335</v>
      </c>
      <c r="K204" s="235">
        <f t="shared" si="33"/>
        <v>-8843.265</v>
      </c>
      <c r="L204" s="133">
        <f t="shared" si="34"/>
        <v>84.8808782949739</v>
      </c>
      <c r="M204" s="234">
        <v>2116</v>
      </c>
      <c r="N204" s="234">
        <v>2062.7</v>
      </c>
      <c r="O204" s="234">
        <v>1911.3</v>
      </c>
      <c r="P204" s="235">
        <f t="shared" si="35"/>
        <v>-151.39999999999986</v>
      </c>
      <c r="Q204" s="133">
        <f t="shared" si="36"/>
        <v>92.6601056867213</v>
      </c>
    </row>
    <row r="205" spans="1:17" s="78" customFormat="1" ht="22.5" customHeight="1" hidden="1">
      <c r="A205" s="77" t="s">
        <v>167</v>
      </c>
      <c r="B205" s="81" t="s">
        <v>457</v>
      </c>
      <c r="C205" s="234">
        <f t="shared" si="37"/>
        <v>0</v>
      </c>
      <c r="D205" s="234">
        <f t="shared" si="37"/>
        <v>0</v>
      </c>
      <c r="E205" s="234">
        <f t="shared" si="38"/>
        <v>0</v>
      </c>
      <c r="F205" s="235">
        <f t="shared" si="31"/>
        <v>0</v>
      </c>
      <c r="G205" s="133" t="e">
        <f t="shared" si="32"/>
        <v>#DIV/0!</v>
      </c>
      <c r="H205" s="236"/>
      <c r="I205" s="236"/>
      <c r="J205" s="236"/>
      <c r="K205" s="235">
        <f t="shared" si="33"/>
        <v>0</v>
      </c>
      <c r="L205" s="133" t="e">
        <f t="shared" si="34"/>
        <v>#DIV/0!</v>
      </c>
      <c r="M205" s="234"/>
      <c r="N205" s="234"/>
      <c r="O205" s="234"/>
      <c r="P205" s="235">
        <f t="shared" si="35"/>
        <v>0</v>
      </c>
      <c r="Q205" s="133" t="e">
        <f t="shared" si="36"/>
        <v>#DIV/0!</v>
      </c>
    </row>
    <row r="206" spans="1:17" s="78" customFormat="1" ht="22.5" customHeight="1" hidden="1">
      <c r="A206" s="77" t="s">
        <v>168</v>
      </c>
      <c r="B206" s="81" t="s">
        <v>458</v>
      </c>
      <c r="C206" s="234">
        <f t="shared" si="37"/>
        <v>0</v>
      </c>
      <c r="D206" s="234">
        <f t="shared" si="37"/>
        <v>0</v>
      </c>
      <c r="E206" s="234">
        <f t="shared" si="38"/>
        <v>0</v>
      </c>
      <c r="F206" s="235">
        <f t="shared" si="31"/>
        <v>0</v>
      </c>
      <c r="G206" s="133" t="e">
        <f t="shared" si="32"/>
        <v>#DIV/0!</v>
      </c>
      <c r="H206" s="236"/>
      <c r="I206" s="236"/>
      <c r="J206" s="236"/>
      <c r="K206" s="235">
        <f t="shared" si="33"/>
        <v>0</v>
      </c>
      <c r="L206" s="133" t="e">
        <f t="shared" si="34"/>
        <v>#DIV/0!</v>
      </c>
      <c r="M206" s="234"/>
      <c r="N206" s="234"/>
      <c r="O206" s="234"/>
      <c r="P206" s="235">
        <f t="shared" si="35"/>
        <v>0</v>
      </c>
      <c r="Q206" s="133" t="e">
        <f t="shared" si="36"/>
        <v>#DIV/0!</v>
      </c>
    </row>
    <row r="207" spans="1:17" s="78" customFormat="1" ht="22.5" customHeight="1" hidden="1">
      <c r="A207" s="77" t="s">
        <v>24</v>
      </c>
      <c r="B207" s="81" t="s">
        <v>459</v>
      </c>
      <c r="C207" s="234">
        <f t="shared" si="37"/>
        <v>0</v>
      </c>
      <c r="D207" s="234">
        <f t="shared" si="37"/>
        <v>0</v>
      </c>
      <c r="E207" s="234">
        <f t="shared" si="38"/>
        <v>0</v>
      </c>
      <c r="F207" s="235">
        <f t="shared" si="31"/>
        <v>0</v>
      </c>
      <c r="G207" s="133" t="e">
        <f t="shared" si="32"/>
        <v>#DIV/0!</v>
      </c>
      <c r="H207" s="236"/>
      <c r="I207" s="236"/>
      <c r="J207" s="236"/>
      <c r="K207" s="235">
        <f t="shared" si="33"/>
        <v>0</v>
      </c>
      <c r="L207" s="133" t="e">
        <f t="shared" si="34"/>
        <v>#DIV/0!</v>
      </c>
      <c r="M207" s="234"/>
      <c r="N207" s="234"/>
      <c r="O207" s="234"/>
      <c r="P207" s="235">
        <f t="shared" si="35"/>
        <v>0</v>
      </c>
      <c r="Q207" s="133" t="e">
        <f t="shared" si="36"/>
        <v>#DIV/0!</v>
      </c>
    </row>
    <row r="208" spans="1:17" s="78" customFormat="1" ht="22.5" customHeight="1" hidden="1">
      <c r="A208" s="77" t="s">
        <v>461</v>
      </c>
      <c r="B208" s="81" t="s">
        <v>460</v>
      </c>
      <c r="C208" s="234">
        <f t="shared" si="37"/>
        <v>0</v>
      </c>
      <c r="D208" s="234">
        <f t="shared" si="37"/>
        <v>0</v>
      </c>
      <c r="E208" s="234">
        <f t="shared" si="38"/>
        <v>0</v>
      </c>
      <c r="F208" s="235">
        <f t="shared" si="31"/>
        <v>0</v>
      </c>
      <c r="G208" s="133" t="e">
        <f t="shared" si="32"/>
        <v>#DIV/0!</v>
      </c>
      <c r="H208" s="236"/>
      <c r="I208" s="236"/>
      <c r="J208" s="236"/>
      <c r="K208" s="235">
        <f t="shared" si="33"/>
        <v>0</v>
      </c>
      <c r="L208" s="133" t="e">
        <f t="shared" si="34"/>
        <v>#DIV/0!</v>
      </c>
      <c r="M208" s="234"/>
      <c r="N208" s="234"/>
      <c r="O208" s="234"/>
      <c r="P208" s="235">
        <f t="shared" si="35"/>
        <v>0</v>
      </c>
      <c r="Q208" s="133" t="e">
        <f t="shared" si="36"/>
        <v>#DIV/0!</v>
      </c>
    </row>
    <row r="209" spans="1:17" s="78" customFormat="1" ht="22.5" customHeight="1" hidden="1">
      <c r="A209" s="77" t="s">
        <v>143</v>
      </c>
      <c r="B209" s="81" t="s">
        <v>142</v>
      </c>
      <c r="C209" s="234">
        <f t="shared" si="37"/>
        <v>0</v>
      </c>
      <c r="D209" s="234">
        <f t="shared" si="37"/>
        <v>0</v>
      </c>
      <c r="E209" s="234">
        <f t="shared" si="38"/>
        <v>0</v>
      </c>
      <c r="F209" s="235">
        <f t="shared" si="31"/>
        <v>0</v>
      </c>
      <c r="G209" s="133" t="e">
        <f t="shared" si="32"/>
        <v>#DIV/0!</v>
      </c>
      <c r="H209" s="236"/>
      <c r="I209" s="236"/>
      <c r="J209" s="236"/>
      <c r="K209" s="235">
        <f t="shared" si="33"/>
        <v>0</v>
      </c>
      <c r="L209" s="133" t="e">
        <f t="shared" si="34"/>
        <v>#DIV/0!</v>
      </c>
      <c r="M209" s="234"/>
      <c r="N209" s="234"/>
      <c r="O209" s="234"/>
      <c r="P209" s="235">
        <f t="shared" si="35"/>
        <v>0</v>
      </c>
      <c r="Q209" s="133" t="e">
        <f t="shared" si="36"/>
        <v>#DIV/0!</v>
      </c>
    </row>
    <row r="210" spans="1:17" s="78" customFormat="1" ht="22.5" customHeight="1" hidden="1">
      <c r="A210" s="77" t="s">
        <v>145</v>
      </c>
      <c r="B210" s="81" t="s">
        <v>144</v>
      </c>
      <c r="C210" s="234">
        <f t="shared" si="37"/>
        <v>0</v>
      </c>
      <c r="D210" s="234">
        <f t="shared" si="37"/>
        <v>0</v>
      </c>
      <c r="E210" s="234">
        <f t="shared" si="38"/>
        <v>0</v>
      </c>
      <c r="F210" s="235">
        <f t="shared" si="31"/>
        <v>0</v>
      </c>
      <c r="G210" s="133" t="e">
        <f t="shared" si="32"/>
        <v>#DIV/0!</v>
      </c>
      <c r="H210" s="236"/>
      <c r="I210" s="236"/>
      <c r="J210" s="236"/>
      <c r="K210" s="235">
        <f t="shared" si="33"/>
        <v>0</v>
      </c>
      <c r="L210" s="133" t="e">
        <f t="shared" si="34"/>
        <v>#DIV/0!</v>
      </c>
      <c r="M210" s="234"/>
      <c r="N210" s="234"/>
      <c r="O210" s="234"/>
      <c r="P210" s="235">
        <f t="shared" si="35"/>
        <v>0</v>
      </c>
      <c r="Q210" s="133" t="e">
        <f t="shared" si="36"/>
        <v>#DIV/0!</v>
      </c>
    </row>
    <row r="211" spans="1:17" s="78" customFormat="1" ht="22.5" customHeight="1" hidden="1">
      <c r="A211" s="77" t="s">
        <v>289</v>
      </c>
      <c r="B211" s="81" t="s">
        <v>288</v>
      </c>
      <c r="C211" s="234">
        <f t="shared" si="37"/>
        <v>0</v>
      </c>
      <c r="D211" s="234">
        <f t="shared" si="37"/>
        <v>0</v>
      </c>
      <c r="E211" s="234">
        <f t="shared" si="38"/>
        <v>0</v>
      </c>
      <c r="F211" s="235">
        <f t="shared" si="31"/>
        <v>0</v>
      </c>
      <c r="G211" s="133" t="e">
        <f t="shared" si="32"/>
        <v>#DIV/0!</v>
      </c>
      <c r="H211" s="236"/>
      <c r="I211" s="236"/>
      <c r="J211" s="236"/>
      <c r="K211" s="235">
        <f t="shared" si="33"/>
        <v>0</v>
      </c>
      <c r="L211" s="133" t="e">
        <f t="shared" si="34"/>
        <v>#DIV/0!</v>
      </c>
      <c r="M211" s="234"/>
      <c r="N211" s="234"/>
      <c r="O211" s="234"/>
      <c r="P211" s="235">
        <f t="shared" si="35"/>
        <v>0</v>
      </c>
      <c r="Q211" s="133" t="e">
        <f t="shared" si="36"/>
        <v>#DIV/0!</v>
      </c>
    </row>
    <row r="212" spans="1:17" s="78" customFormat="1" ht="22.5" customHeight="1" hidden="1">
      <c r="A212" s="77" t="s">
        <v>292</v>
      </c>
      <c r="B212" s="81" t="s">
        <v>291</v>
      </c>
      <c r="C212" s="234">
        <f t="shared" si="37"/>
        <v>0</v>
      </c>
      <c r="D212" s="234">
        <f t="shared" si="37"/>
        <v>0</v>
      </c>
      <c r="E212" s="234">
        <f t="shared" si="38"/>
        <v>0</v>
      </c>
      <c r="F212" s="235">
        <f t="shared" si="31"/>
        <v>0</v>
      </c>
      <c r="G212" s="133" t="e">
        <f t="shared" si="32"/>
        <v>#DIV/0!</v>
      </c>
      <c r="H212" s="236"/>
      <c r="I212" s="236"/>
      <c r="J212" s="236"/>
      <c r="K212" s="235">
        <f t="shared" si="33"/>
        <v>0</v>
      </c>
      <c r="L212" s="133" t="e">
        <f t="shared" si="34"/>
        <v>#DIV/0!</v>
      </c>
      <c r="M212" s="234"/>
      <c r="N212" s="234"/>
      <c r="O212" s="234"/>
      <c r="P212" s="235">
        <f t="shared" si="35"/>
        <v>0</v>
      </c>
      <c r="Q212" s="133" t="e">
        <f t="shared" si="36"/>
        <v>#DIV/0!</v>
      </c>
    </row>
    <row r="213" spans="1:17" s="78" customFormat="1" ht="22.5" customHeight="1" hidden="1">
      <c r="A213" s="77" t="s">
        <v>162</v>
      </c>
      <c r="B213" s="81" t="s">
        <v>161</v>
      </c>
      <c r="C213" s="234">
        <f t="shared" si="37"/>
        <v>0</v>
      </c>
      <c r="D213" s="234">
        <f t="shared" si="37"/>
        <v>0</v>
      </c>
      <c r="E213" s="234">
        <f t="shared" si="38"/>
        <v>0</v>
      </c>
      <c r="F213" s="235">
        <f t="shared" si="31"/>
        <v>0</v>
      </c>
      <c r="G213" s="133" t="e">
        <f t="shared" si="32"/>
        <v>#DIV/0!</v>
      </c>
      <c r="H213" s="236"/>
      <c r="I213" s="236"/>
      <c r="J213" s="236"/>
      <c r="K213" s="235">
        <f t="shared" si="33"/>
        <v>0</v>
      </c>
      <c r="L213" s="133" t="e">
        <f t="shared" si="34"/>
        <v>#DIV/0!</v>
      </c>
      <c r="M213" s="234"/>
      <c r="N213" s="234"/>
      <c r="O213" s="234"/>
      <c r="P213" s="235">
        <f t="shared" si="35"/>
        <v>0</v>
      </c>
      <c r="Q213" s="133" t="e">
        <f t="shared" si="36"/>
        <v>#DIV/0!</v>
      </c>
    </row>
    <row r="214" spans="1:17" s="78" customFormat="1" ht="22.5" customHeight="1" hidden="1">
      <c r="A214" s="77" t="s">
        <v>164</v>
      </c>
      <c r="B214" s="81" t="s">
        <v>163</v>
      </c>
      <c r="C214" s="234">
        <f t="shared" si="37"/>
        <v>0</v>
      </c>
      <c r="D214" s="234">
        <f t="shared" si="37"/>
        <v>0</v>
      </c>
      <c r="E214" s="234">
        <f t="shared" si="38"/>
        <v>0</v>
      </c>
      <c r="F214" s="235">
        <f t="shared" si="31"/>
        <v>0</v>
      </c>
      <c r="G214" s="133" t="e">
        <f t="shared" si="32"/>
        <v>#DIV/0!</v>
      </c>
      <c r="H214" s="236"/>
      <c r="I214" s="236"/>
      <c r="J214" s="236"/>
      <c r="K214" s="235">
        <f t="shared" si="33"/>
        <v>0</v>
      </c>
      <c r="L214" s="133" t="e">
        <f t="shared" si="34"/>
        <v>#DIV/0!</v>
      </c>
      <c r="M214" s="234"/>
      <c r="N214" s="234"/>
      <c r="O214" s="234"/>
      <c r="P214" s="235">
        <f t="shared" si="35"/>
        <v>0</v>
      </c>
      <c r="Q214" s="133" t="e">
        <f t="shared" si="36"/>
        <v>#DIV/0!</v>
      </c>
    </row>
    <row r="215" spans="1:17" s="78" customFormat="1" ht="22.5" customHeight="1" hidden="1">
      <c r="A215" s="77" t="s">
        <v>462</v>
      </c>
      <c r="B215" s="81" t="s">
        <v>165</v>
      </c>
      <c r="C215" s="234">
        <f t="shared" si="37"/>
        <v>0</v>
      </c>
      <c r="D215" s="234">
        <f t="shared" si="37"/>
        <v>0</v>
      </c>
      <c r="E215" s="234">
        <f t="shared" si="38"/>
        <v>0</v>
      </c>
      <c r="F215" s="235">
        <f t="shared" si="31"/>
        <v>0</v>
      </c>
      <c r="G215" s="133" t="e">
        <f t="shared" si="32"/>
        <v>#DIV/0!</v>
      </c>
      <c r="H215" s="236"/>
      <c r="I215" s="236"/>
      <c r="J215" s="236"/>
      <c r="K215" s="235">
        <f t="shared" si="33"/>
        <v>0</v>
      </c>
      <c r="L215" s="133" t="e">
        <f t="shared" si="34"/>
        <v>#DIV/0!</v>
      </c>
      <c r="M215" s="234"/>
      <c r="N215" s="234"/>
      <c r="O215" s="234"/>
      <c r="P215" s="235">
        <f t="shared" si="35"/>
        <v>0</v>
      </c>
      <c r="Q215" s="133" t="e">
        <f t="shared" si="36"/>
        <v>#DIV/0!</v>
      </c>
    </row>
    <row r="216" spans="1:17" s="78" customFormat="1" ht="22.5" customHeight="1" hidden="1">
      <c r="A216" s="77" t="s">
        <v>294</v>
      </c>
      <c r="B216" s="81" t="s">
        <v>293</v>
      </c>
      <c r="C216" s="234">
        <f t="shared" si="37"/>
        <v>0</v>
      </c>
      <c r="D216" s="234">
        <f t="shared" si="37"/>
        <v>0</v>
      </c>
      <c r="E216" s="234">
        <f t="shared" si="38"/>
        <v>0</v>
      </c>
      <c r="F216" s="235">
        <f t="shared" si="31"/>
        <v>0</v>
      </c>
      <c r="G216" s="133" t="e">
        <f t="shared" si="32"/>
        <v>#DIV/0!</v>
      </c>
      <c r="H216" s="236"/>
      <c r="I216" s="236"/>
      <c r="J216" s="236"/>
      <c r="K216" s="235">
        <f t="shared" si="33"/>
        <v>0</v>
      </c>
      <c r="L216" s="133" t="e">
        <f t="shared" si="34"/>
        <v>#DIV/0!</v>
      </c>
      <c r="M216" s="234"/>
      <c r="N216" s="234"/>
      <c r="O216" s="234"/>
      <c r="P216" s="235">
        <f t="shared" si="35"/>
        <v>0</v>
      </c>
      <c r="Q216" s="133" t="e">
        <f t="shared" si="36"/>
        <v>#DIV/0!</v>
      </c>
    </row>
    <row r="217" spans="1:17" s="78" customFormat="1" ht="22.5" customHeight="1" hidden="1">
      <c r="A217" s="77" t="s">
        <v>147</v>
      </c>
      <c r="B217" s="81" t="s">
        <v>146</v>
      </c>
      <c r="C217" s="234">
        <f t="shared" si="37"/>
        <v>0</v>
      </c>
      <c r="D217" s="234">
        <f t="shared" si="37"/>
        <v>0</v>
      </c>
      <c r="E217" s="234">
        <f t="shared" si="38"/>
        <v>0</v>
      </c>
      <c r="F217" s="235">
        <f t="shared" si="31"/>
        <v>0</v>
      </c>
      <c r="G217" s="133" t="e">
        <f t="shared" si="32"/>
        <v>#DIV/0!</v>
      </c>
      <c r="H217" s="236"/>
      <c r="I217" s="236"/>
      <c r="J217" s="236"/>
      <c r="K217" s="235">
        <f t="shared" si="33"/>
        <v>0</v>
      </c>
      <c r="L217" s="133" t="e">
        <f t="shared" si="34"/>
        <v>#DIV/0!</v>
      </c>
      <c r="M217" s="234"/>
      <c r="N217" s="234"/>
      <c r="O217" s="234"/>
      <c r="P217" s="235">
        <f t="shared" si="35"/>
        <v>0</v>
      </c>
      <c r="Q217" s="133" t="e">
        <f t="shared" si="36"/>
        <v>#DIV/0!</v>
      </c>
    </row>
    <row r="218" spans="1:17" s="78" customFormat="1" ht="22.5" customHeight="1" hidden="1">
      <c r="A218" s="77" t="s">
        <v>296</v>
      </c>
      <c r="B218" s="81" t="s">
        <v>295</v>
      </c>
      <c r="C218" s="234">
        <f t="shared" si="37"/>
        <v>0</v>
      </c>
      <c r="D218" s="234">
        <f t="shared" si="37"/>
        <v>0</v>
      </c>
      <c r="E218" s="234">
        <f t="shared" si="38"/>
        <v>0</v>
      </c>
      <c r="F218" s="235">
        <f t="shared" si="31"/>
        <v>0</v>
      </c>
      <c r="G218" s="133" t="e">
        <f t="shared" si="32"/>
        <v>#DIV/0!</v>
      </c>
      <c r="H218" s="236"/>
      <c r="I218" s="236"/>
      <c r="J218" s="236"/>
      <c r="K218" s="235">
        <f t="shared" si="33"/>
        <v>0</v>
      </c>
      <c r="L218" s="133" t="e">
        <f t="shared" si="34"/>
        <v>#DIV/0!</v>
      </c>
      <c r="M218" s="234"/>
      <c r="N218" s="234"/>
      <c r="O218" s="234"/>
      <c r="P218" s="235">
        <f t="shared" si="35"/>
        <v>0</v>
      </c>
      <c r="Q218" s="133" t="e">
        <f t="shared" si="36"/>
        <v>#DIV/0!</v>
      </c>
    </row>
    <row r="219" spans="1:17" s="78" customFormat="1" ht="22.5" customHeight="1">
      <c r="A219" s="77" t="s">
        <v>149</v>
      </c>
      <c r="B219" s="81" t="s">
        <v>148</v>
      </c>
      <c r="C219" s="357">
        <f t="shared" si="37"/>
        <v>0</v>
      </c>
      <c r="D219" s="234">
        <f t="shared" si="37"/>
        <v>15.6</v>
      </c>
      <c r="E219" s="234">
        <f t="shared" si="38"/>
        <v>15.6</v>
      </c>
      <c r="F219" s="351">
        <f t="shared" si="31"/>
        <v>0</v>
      </c>
      <c r="G219" s="133">
        <f t="shared" si="32"/>
        <v>100</v>
      </c>
      <c r="H219" s="236"/>
      <c r="I219" s="236">
        <v>15.6</v>
      </c>
      <c r="J219" s="236">
        <v>15.6</v>
      </c>
      <c r="K219" s="351">
        <f t="shared" si="33"/>
        <v>0</v>
      </c>
      <c r="L219" s="133">
        <f t="shared" si="34"/>
        <v>100</v>
      </c>
      <c r="M219" s="234"/>
      <c r="N219" s="234"/>
      <c r="O219" s="234"/>
      <c r="P219" s="351">
        <f t="shared" si="35"/>
        <v>0</v>
      </c>
      <c r="Q219" s="352" t="e">
        <f t="shared" si="36"/>
        <v>#DIV/0!</v>
      </c>
    </row>
    <row r="220" spans="1:17" s="78" customFormat="1" ht="22.5" customHeight="1" hidden="1">
      <c r="A220" s="77" t="s">
        <v>298</v>
      </c>
      <c r="B220" s="81" t="s">
        <v>297</v>
      </c>
      <c r="C220" s="234">
        <f t="shared" si="37"/>
        <v>0</v>
      </c>
      <c r="D220" s="234">
        <f t="shared" si="37"/>
        <v>0</v>
      </c>
      <c r="E220" s="234">
        <f t="shared" si="38"/>
        <v>0</v>
      </c>
      <c r="F220" s="235">
        <f t="shared" si="31"/>
        <v>0</v>
      </c>
      <c r="G220" s="133" t="e">
        <f t="shared" si="32"/>
        <v>#DIV/0!</v>
      </c>
      <c r="H220" s="236"/>
      <c r="I220" s="236"/>
      <c r="J220" s="236"/>
      <c r="K220" s="235">
        <f t="shared" si="33"/>
        <v>0</v>
      </c>
      <c r="L220" s="133" t="e">
        <f t="shared" si="34"/>
        <v>#DIV/0!</v>
      </c>
      <c r="M220" s="234"/>
      <c r="N220" s="234"/>
      <c r="O220" s="234"/>
      <c r="P220" s="351">
        <f t="shared" si="35"/>
        <v>0</v>
      </c>
      <c r="Q220" s="352" t="e">
        <f t="shared" si="36"/>
        <v>#DIV/0!</v>
      </c>
    </row>
    <row r="221" spans="1:17" s="78" customFormat="1" ht="22.5" customHeight="1" hidden="1">
      <c r="A221" s="77" t="s">
        <v>151</v>
      </c>
      <c r="B221" s="81" t="s">
        <v>150</v>
      </c>
      <c r="C221" s="234">
        <f t="shared" si="37"/>
        <v>0</v>
      </c>
      <c r="D221" s="234">
        <f t="shared" si="37"/>
        <v>0</v>
      </c>
      <c r="E221" s="234">
        <f t="shared" si="38"/>
        <v>0</v>
      </c>
      <c r="F221" s="235">
        <f t="shared" si="31"/>
        <v>0</v>
      </c>
      <c r="G221" s="133" t="e">
        <f t="shared" si="32"/>
        <v>#DIV/0!</v>
      </c>
      <c r="H221" s="236"/>
      <c r="I221" s="236"/>
      <c r="J221" s="236"/>
      <c r="K221" s="235">
        <f t="shared" si="33"/>
        <v>0</v>
      </c>
      <c r="L221" s="133" t="e">
        <f t="shared" si="34"/>
        <v>#DIV/0!</v>
      </c>
      <c r="M221" s="234"/>
      <c r="N221" s="234"/>
      <c r="O221" s="234"/>
      <c r="P221" s="351">
        <f t="shared" si="35"/>
        <v>0</v>
      </c>
      <c r="Q221" s="352" t="e">
        <f t="shared" si="36"/>
        <v>#DIV/0!</v>
      </c>
    </row>
    <row r="222" spans="1:17" s="78" customFormat="1" ht="22.5" customHeight="1" hidden="1">
      <c r="A222" s="77" t="s">
        <v>300</v>
      </c>
      <c r="B222" s="81" t="s">
        <v>299</v>
      </c>
      <c r="C222" s="234">
        <f t="shared" si="37"/>
        <v>0</v>
      </c>
      <c r="D222" s="234">
        <f t="shared" si="37"/>
        <v>0</v>
      </c>
      <c r="E222" s="234">
        <f t="shared" si="38"/>
        <v>0</v>
      </c>
      <c r="F222" s="235">
        <f t="shared" si="31"/>
        <v>0</v>
      </c>
      <c r="G222" s="133" t="e">
        <f t="shared" si="32"/>
        <v>#DIV/0!</v>
      </c>
      <c r="H222" s="236"/>
      <c r="I222" s="236"/>
      <c r="J222" s="236"/>
      <c r="K222" s="235">
        <f t="shared" si="33"/>
        <v>0</v>
      </c>
      <c r="L222" s="133" t="e">
        <f t="shared" si="34"/>
        <v>#DIV/0!</v>
      </c>
      <c r="M222" s="234"/>
      <c r="N222" s="234"/>
      <c r="O222" s="234"/>
      <c r="P222" s="351">
        <f t="shared" si="35"/>
        <v>0</v>
      </c>
      <c r="Q222" s="352" t="e">
        <f t="shared" si="36"/>
        <v>#DIV/0!</v>
      </c>
    </row>
    <row r="223" spans="1:17" s="78" customFormat="1" ht="22.5" customHeight="1">
      <c r="A223" s="77" t="s">
        <v>153</v>
      </c>
      <c r="B223" s="81" t="s">
        <v>152</v>
      </c>
      <c r="C223" s="234">
        <f t="shared" si="37"/>
        <v>429637.7</v>
      </c>
      <c r="D223" s="357">
        <f t="shared" si="37"/>
        <v>0</v>
      </c>
      <c r="E223" s="357">
        <f t="shared" si="38"/>
        <v>0</v>
      </c>
      <c r="F223" s="351">
        <f t="shared" si="31"/>
        <v>0</v>
      </c>
      <c r="G223" s="352" t="e">
        <f t="shared" si="32"/>
        <v>#DIV/0!</v>
      </c>
      <c r="H223" s="236">
        <v>429637.7</v>
      </c>
      <c r="I223" s="236"/>
      <c r="J223" s="236"/>
      <c r="K223" s="351">
        <f t="shared" si="33"/>
        <v>0</v>
      </c>
      <c r="L223" s="352" t="e">
        <f t="shared" si="34"/>
        <v>#DIV/0!</v>
      </c>
      <c r="M223" s="234"/>
      <c r="N223" s="234"/>
      <c r="O223" s="234"/>
      <c r="P223" s="351">
        <f t="shared" si="35"/>
        <v>0</v>
      </c>
      <c r="Q223" s="352" t="e">
        <f t="shared" si="36"/>
        <v>#DIV/0!</v>
      </c>
    </row>
    <row r="224" spans="1:17" s="78" customFormat="1" ht="22.5" customHeight="1">
      <c r="A224" s="77" t="s">
        <v>155</v>
      </c>
      <c r="B224" s="81" t="s">
        <v>154</v>
      </c>
      <c r="C224" s="234">
        <f t="shared" si="37"/>
        <v>213.4</v>
      </c>
      <c r="D224" s="234">
        <f t="shared" si="37"/>
        <v>7006.599999999999</v>
      </c>
      <c r="E224" s="234">
        <f t="shared" si="38"/>
        <v>7006.599999999999</v>
      </c>
      <c r="F224" s="351">
        <f t="shared" si="31"/>
        <v>0</v>
      </c>
      <c r="G224" s="133">
        <f t="shared" si="32"/>
        <v>100</v>
      </c>
      <c r="H224" s="236">
        <v>213.4</v>
      </c>
      <c r="I224" s="236">
        <v>213.4</v>
      </c>
      <c r="J224" s="236">
        <v>213.4</v>
      </c>
      <c r="K224" s="351">
        <f t="shared" si="33"/>
        <v>0</v>
      </c>
      <c r="L224" s="133">
        <f t="shared" si="34"/>
        <v>100</v>
      </c>
      <c r="M224" s="234"/>
      <c r="N224" s="234">
        <v>6793.2</v>
      </c>
      <c r="O224" s="234">
        <v>6793.2</v>
      </c>
      <c r="P224" s="351">
        <f t="shared" si="35"/>
        <v>0</v>
      </c>
      <c r="Q224" s="133">
        <f t="shared" si="36"/>
        <v>100</v>
      </c>
    </row>
    <row r="225" spans="1:17" s="78" customFormat="1" ht="22.5" customHeight="1">
      <c r="A225" s="77" t="s">
        <v>192</v>
      </c>
      <c r="B225" s="81" t="s">
        <v>156</v>
      </c>
      <c r="C225" s="234">
        <f t="shared" si="37"/>
        <v>518.6</v>
      </c>
      <c r="D225" s="234">
        <f t="shared" si="37"/>
        <v>618.1</v>
      </c>
      <c r="E225" s="234">
        <f t="shared" si="38"/>
        <v>559.628</v>
      </c>
      <c r="F225" s="235">
        <f t="shared" si="31"/>
        <v>-58.47199999999998</v>
      </c>
      <c r="G225" s="133">
        <f t="shared" si="32"/>
        <v>90.54004206439087</v>
      </c>
      <c r="H225" s="236">
        <v>518.6</v>
      </c>
      <c r="I225" s="236">
        <v>618.1</v>
      </c>
      <c r="J225" s="236">
        <v>559.628</v>
      </c>
      <c r="K225" s="235">
        <f t="shared" si="33"/>
        <v>-58.47199999999998</v>
      </c>
      <c r="L225" s="133">
        <f t="shared" si="34"/>
        <v>90.54004206439087</v>
      </c>
      <c r="M225" s="234"/>
      <c r="N225" s="234"/>
      <c r="O225" s="234"/>
      <c r="P225" s="351">
        <f t="shared" si="35"/>
        <v>0</v>
      </c>
      <c r="Q225" s="352" t="e">
        <f t="shared" si="36"/>
        <v>#DIV/0!</v>
      </c>
    </row>
    <row r="226" spans="1:17" s="78" customFormat="1" ht="22.5" customHeight="1" hidden="1">
      <c r="A226" s="77" t="s">
        <v>158</v>
      </c>
      <c r="B226" s="81" t="s">
        <v>157</v>
      </c>
      <c r="C226" s="234">
        <f t="shared" si="37"/>
        <v>0</v>
      </c>
      <c r="D226" s="234">
        <f t="shared" si="37"/>
        <v>0</v>
      </c>
      <c r="E226" s="234">
        <f t="shared" si="38"/>
        <v>0</v>
      </c>
      <c r="F226" s="235">
        <f t="shared" si="31"/>
        <v>0</v>
      </c>
      <c r="G226" s="133" t="e">
        <f t="shared" si="32"/>
        <v>#DIV/0!</v>
      </c>
      <c r="H226" s="236"/>
      <c r="I226" s="236"/>
      <c r="J226" s="236"/>
      <c r="K226" s="235">
        <f t="shared" si="33"/>
        <v>0</v>
      </c>
      <c r="L226" s="133" t="e">
        <f t="shared" si="34"/>
        <v>#DIV/0!</v>
      </c>
      <c r="M226" s="234"/>
      <c r="N226" s="234"/>
      <c r="O226" s="234"/>
      <c r="P226" s="351">
        <f t="shared" si="35"/>
        <v>0</v>
      </c>
      <c r="Q226" s="352" t="e">
        <f t="shared" si="36"/>
        <v>#DIV/0!</v>
      </c>
    </row>
    <row r="227" spans="1:17" s="78" customFormat="1" ht="22.5" customHeight="1">
      <c r="A227" s="77" t="s">
        <v>464</v>
      </c>
      <c r="B227" s="81" t="s">
        <v>463</v>
      </c>
      <c r="C227" s="357">
        <f t="shared" si="37"/>
        <v>0</v>
      </c>
      <c r="D227" s="234">
        <f t="shared" si="37"/>
        <v>266.6</v>
      </c>
      <c r="E227" s="234">
        <f t="shared" si="38"/>
        <v>265.454</v>
      </c>
      <c r="F227" s="235">
        <f t="shared" si="31"/>
        <v>-1.146000000000015</v>
      </c>
      <c r="G227" s="133">
        <f t="shared" si="32"/>
        <v>99.57014253563389</v>
      </c>
      <c r="H227" s="236"/>
      <c r="I227" s="236">
        <v>266.6</v>
      </c>
      <c r="J227" s="236">
        <v>265.454</v>
      </c>
      <c r="K227" s="235">
        <f t="shared" si="33"/>
        <v>-1.146000000000015</v>
      </c>
      <c r="L227" s="133">
        <f t="shared" si="34"/>
        <v>99.57014253563389</v>
      </c>
      <c r="M227" s="234"/>
      <c r="N227" s="234"/>
      <c r="O227" s="234"/>
      <c r="P227" s="351">
        <f t="shared" si="35"/>
        <v>0</v>
      </c>
      <c r="Q227" s="352" t="e">
        <f t="shared" si="36"/>
        <v>#DIV/0!</v>
      </c>
    </row>
    <row r="228" spans="1:17" s="78" customFormat="1" ht="22.5" customHeight="1">
      <c r="A228" s="77" t="s">
        <v>466</v>
      </c>
      <c r="B228" s="81" t="s">
        <v>465</v>
      </c>
      <c r="C228" s="357">
        <f t="shared" si="37"/>
        <v>0</v>
      </c>
      <c r="D228" s="234">
        <f t="shared" si="37"/>
        <v>1500</v>
      </c>
      <c r="E228" s="234">
        <f t="shared" si="38"/>
        <v>1420.73</v>
      </c>
      <c r="F228" s="235">
        <f t="shared" si="31"/>
        <v>-79.26999999999998</v>
      </c>
      <c r="G228" s="133">
        <f t="shared" si="32"/>
        <v>94.71533333333333</v>
      </c>
      <c r="H228" s="236"/>
      <c r="I228" s="236">
        <v>1500</v>
      </c>
      <c r="J228" s="236">
        <v>1420.73</v>
      </c>
      <c r="K228" s="235">
        <f t="shared" si="33"/>
        <v>-79.26999999999998</v>
      </c>
      <c r="L228" s="133">
        <f t="shared" si="34"/>
        <v>94.71533333333333</v>
      </c>
      <c r="M228" s="234"/>
      <c r="N228" s="234"/>
      <c r="O228" s="234"/>
      <c r="P228" s="351">
        <f t="shared" si="35"/>
        <v>0</v>
      </c>
      <c r="Q228" s="352" t="e">
        <f t="shared" si="36"/>
        <v>#DIV/0!</v>
      </c>
    </row>
    <row r="229" spans="1:17" s="76" customFormat="1" ht="22.5" customHeight="1">
      <c r="A229" s="75" t="s">
        <v>191</v>
      </c>
      <c r="B229" s="80" t="s">
        <v>159</v>
      </c>
      <c r="C229" s="233">
        <f aca="true" t="shared" si="39" ref="C229:E230">H229+M229</f>
        <v>1949882.2</v>
      </c>
      <c r="D229" s="233">
        <f t="shared" si="39"/>
        <v>2152944.9000000004</v>
      </c>
      <c r="E229" s="233">
        <f t="shared" si="39"/>
        <v>1640681.497</v>
      </c>
      <c r="F229" s="232">
        <f t="shared" si="31"/>
        <v>-512263.4030000004</v>
      </c>
      <c r="G229" s="82">
        <f t="shared" si="32"/>
        <v>76.20638582064964</v>
      </c>
      <c r="H229" s="205">
        <v>1939765.4</v>
      </c>
      <c r="I229" s="205">
        <v>2141496.7</v>
      </c>
      <c r="J229" s="205">
        <v>1632079.525</v>
      </c>
      <c r="K229" s="232">
        <f t="shared" si="33"/>
        <v>-509417.1750000003</v>
      </c>
      <c r="L229" s="82">
        <f t="shared" si="34"/>
        <v>76.2120961942178</v>
      </c>
      <c r="M229" s="233">
        <v>10116.8</v>
      </c>
      <c r="N229" s="233">
        <v>11448.2</v>
      </c>
      <c r="O229" s="233">
        <v>8601.972</v>
      </c>
      <c r="P229" s="232">
        <f t="shared" si="35"/>
        <v>-2846.228000000001</v>
      </c>
      <c r="Q229" s="82">
        <f t="shared" si="36"/>
        <v>75.1382051326846</v>
      </c>
    </row>
    <row r="230" spans="1:17" s="143" customFormat="1" ht="22.5" customHeight="1">
      <c r="A230" s="142" t="s">
        <v>544</v>
      </c>
      <c r="B230" s="141" t="s">
        <v>159</v>
      </c>
      <c r="C230" s="234">
        <f t="shared" si="39"/>
        <v>1625092.6</v>
      </c>
      <c r="D230" s="234">
        <f t="shared" si="39"/>
        <v>1709770.8</v>
      </c>
      <c r="E230" s="234">
        <f t="shared" si="39"/>
        <v>1302867.639</v>
      </c>
      <c r="F230" s="235">
        <f t="shared" si="31"/>
        <v>-406903.1610000001</v>
      </c>
      <c r="G230" s="133">
        <f t="shared" si="32"/>
        <v>76.20130364841884</v>
      </c>
      <c r="H230" s="203">
        <v>1625092.6</v>
      </c>
      <c r="I230" s="203">
        <v>1709770.8</v>
      </c>
      <c r="J230" s="203">
        <v>1302867.639</v>
      </c>
      <c r="K230" s="235">
        <f t="shared" si="33"/>
        <v>-406903.1610000001</v>
      </c>
      <c r="L230" s="133">
        <f t="shared" si="34"/>
        <v>76.20130364841884</v>
      </c>
      <c r="M230" s="234"/>
      <c r="N230" s="234"/>
      <c r="O230" s="234"/>
      <c r="P230" s="351">
        <f t="shared" si="35"/>
        <v>0</v>
      </c>
      <c r="Q230" s="352" t="e">
        <f t="shared" si="36"/>
        <v>#DIV/0!</v>
      </c>
    </row>
    <row r="231" spans="1:17" s="78" customFormat="1" ht="22.5" customHeight="1">
      <c r="A231" s="77"/>
      <c r="B231" s="81" t="s">
        <v>159</v>
      </c>
      <c r="C231" s="234"/>
      <c r="D231" s="234"/>
      <c r="E231" s="236"/>
      <c r="F231" s="232"/>
      <c r="G231" s="82"/>
      <c r="H231" s="236"/>
      <c r="I231" s="236"/>
      <c r="J231" s="236"/>
      <c r="K231" s="232"/>
      <c r="L231" s="82"/>
      <c r="M231" s="234"/>
      <c r="N231" s="234"/>
      <c r="O231" s="234"/>
      <c r="P231" s="232"/>
      <c r="Q231" s="82"/>
    </row>
    <row r="232" spans="1:17" s="76" customFormat="1" ht="22.5" customHeight="1">
      <c r="A232" s="75" t="s">
        <v>5</v>
      </c>
      <c r="B232" s="79"/>
      <c r="C232" s="233">
        <f>C233+C275</f>
        <v>3522927</v>
      </c>
      <c r="D232" s="233">
        <f>D233+D275</f>
        <v>3753804.974</v>
      </c>
      <c r="E232" s="233">
        <f>E233+E275</f>
        <v>3593567.981</v>
      </c>
      <c r="F232" s="232">
        <f t="shared" si="31"/>
        <v>-160236.99299999978</v>
      </c>
      <c r="G232" s="82">
        <f t="shared" si="32"/>
        <v>95.73134475259502</v>
      </c>
      <c r="H232" s="233">
        <f>H233+H275</f>
        <v>2636292.9000000004</v>
      </c>
      <c r="I232" s="233">
        <f>I233+I275</f>
        <v>2836101.4999999995</v>
      </c>
      <c r="J232" s="233">
        <f>J233+J275</f>
        <v>2725144.538</v>
      </c>
      <c r="K232" s="232">
        <f t="shared" si="33"/>
        <v>-110956.96199999936</v>
      </c>
      <c r="L232" s="82">
        <f t="shared" si="34"/>
        <v>96.08769425212745</v>
      </c>
      <c r="M232" s="233">
        <f>M233+M275</f>
        <v>886634.1</v>
      </c>
      <c r="N232" s="233">
        <f>N233+N275</f>
        <v>917703.4739999999</v>
      </c>
      <c r="O232" s="233">
        <f>O233+O275</f>
        <v>868423.4429999999</v>
      </c>
      <c r="P232" s="232">
        <f t="shared" si="35"/>
        <v>-49280.031000000075</v>
      </c>
      <c r="Q232" s="82">
        <f t="shared" si="36"/>
        <v>94.63007034448688</v>
      </c>
    </row>
    <row r="233" spans="1:17" s="76" customFormat="1" ht="22.5" customHeight="1">
      <c r="A233" s="75" t="s">
        <v>130</v>
      </c>
      <c r="B233" s="80"/>
      <c r="C233" s="233">
        <f>C234+C235+C236+C237+C238+C239+C240+C241+C242+C243+C244+C245+C246+C247+C248+C249+C250+C251+C252+C253+C254+C255+C256+C257+C258+C259+C260+C261+C262+C263+C264+C265+C266+C267+C268+C269+C270+C271+C272+C273+C274</f>
        <v>3400011.2</v>
      </c>
      <c r="D233" s="233">
        <f>D234+D235+D236+D237+D238+D239+D240+D241+D242+D243+D244+D245+D246+D247+D248+D249+D250+D251+D252+D253+D254+D255+D256+D257+D258+D259+D260+D261+D262+D263+D264+D265+D266+D267+D268+D269+D270+D271+D272+D273+D274</f>
        <v>3580281.907</v>
      </c>
      <c r="E233" s="233">
        <f>E234+E235+E236+E237+E238+E239+E240+E241+E242+E243+E244+E245+E246+E247+E248+E249+E250+E251+E252+E253+E254+E255+E256+E257+E258+E259+E260+E261+E262+E263+E264+E265+E266+E267+E268+E269+E270+E271+E272+E273+E274</f>
        <v>3459980.7180000003</v>
      </c>
      <c r="F233" s="232">
        <f t="shared" si="31"/>
        <v>-120301.18899999978</v>
      </c>
      <c r="G233" s="82">
        <f t="shared" si="32"/>
        <v>96.63989618345995</v>
      </c>
      <c r="H233" s="233">
        <f>H234+H235+H236+H237+H238+H239+H240+H241+H242+H243+H244+H245+H246+H247+H248+H249+H250+H251+H252+H253+H254+H255+H256+H257+H258+H259+H260+H261+H262+H263+H264+H265+H266+H267+H268+H269+H270+H271+H272+H273+H274</f>
        <v>2524429.6000000006</v>
      </c>
      <c r="I233" s="233">
        <f>I234+I235+I236+I237+I238+I239+I240+I241+I242+I243+I244+I245+I246+I247+I248+I249+I250+I251+I252+I253+I254+I255+I256+I257+I258+I259+I260+I261+I262+I263+I264+I265+I266+I267+I268+I269+I270+I271+I272+I273+I274</f>
        <v>2676537.2999999993</v>
      </c>
      <c r="J233" s="233">
        <f>J234+J235+J236+J237+J238+J239+J240+J241+J242+J243+J244+J245+J246+J247+J248+J249+J250+J251+J252+J253+J254+J255+J256+J257+J258+J259+J260+J261+J262+J263+J264+J265+J266+J267+J268+J269+J270+J271+J272+J273+J274</f>
        <v>2601828.3850000002</v>
      </c>
      <c r="K233" s="232">
        <f t="shared" si="33"/>
        <v>-74708.9149999991</v>
      </c>
      <c r="L233" s="82">
        <f t="shared" si="34"/>
        <v>97.20874747383498</v>
      </c>
      <c r="M233" s="233">
        <f>M234+M235+M236+M237+M238+M239+M240+M241+M242+M243+M244+M245+M246+M247+M248+M249+M250+M251+M252+M253+M254+M255+M256+M257+M258+M259+M260+M261+M262+M263+M264+M265+M266+M267+M268+M269+M270+M271+M272+M273+M274</f>
        <v>875581.6</v>
      </c>
      <c r="N233" s="233">
        <f>N234+N235+N236+N237+N238+N239+N240+N241+N242+N243+N244+N245+N246+N247+N248+N249+N250+N251+N252+N253+N254+N255+N256+N257+N258+N259+N260+N261+N262+N263+N264+N265+N266+N267+N268+N269+N270+N271+N272+N273+N274</f>
        <v>903744.607</v>
      </c>
      <c r="O233" s="233">
        <f>O234+O235+O236+O237+O238+O239+O240+O241+O242+O243+O244+O245+O246+O247+O248+O249+O250+O251+O252+O253+O254+O255+O256+O257+O258+O259+O260+O261+O262+O263+O264+O265+O266+O267+O268+O269+O270+O271+O272+O273+O274</f>
        <v>858152.3329999999</v>
      </c>
      <c r="P233" s="232">
        <f t="shared" si="35"/>
        <v>-45592.27400000009</v>
      </c>
      <c r="Q233" s="82">
        <f t="shared" si="36"/>
        <v>94.95518162466887</v>
      </c>
    </row>
    <row r="234" spans="1:17" s="78" customFormat="1" ht="22.5" customHeight="1">
      <c r="A234" s="77" t="s">
        <v>132</v>
      </c>
      <c r="B234" s="81" t="s">
        <v>131</v>
      </c>
      <c r="C234" s="234">
        <f>H234+M234</f>
        <v>1455553</v>
      </c>
      <c r="D234" s="234">
        <f>I234+N234</f>
        <v>1580713.43</v>
      </c>
      <c r="E234" s="234">
        <f>J234+O234</f>
        <v>1562832.5520000001</v>
      </c>
      <c r="F234" s="235">
        <f t="shared" si="31"/>
        <v>-17880.877999999793</v>
      </c>
      <c r="G234" s="133">
        <f t="shared" si="32"/>
        <v>98.86880963616538</v>
      </c>
      <c r="H234" s="236">
        <v>1045712.4</v>
      </c>
      <c r="I234" s="236">
        <v>1166747.9</v>
      </c>
      <c r="J234" s="236">
        <v>1158897.621</v>
      </c>
      <c r="K234" s="235">
        <f t="shared" si="33"/>
        <v>-7850.278999999864</v>
      </c>
      <c r="L234" s="133">
        <f t="shared" si="34"/>
        <v>99.32716579134191</v>
      </c>
      <c r="M234" s="234">
        <v>409840.6</v>
      </c>
      <c r="N234" s="234">
        <v>413965.53</v>
      </c>
      <c r="O234" s="234">
        <v>403934.931</v>
      </c>
      <c r="P234" s="235">
        <f t="shared" si="35"/>
        <v>-10030.599000000046</v>
      </c>
      <c r="Q234" s="133">
        <f t="shared" si="36"/>
        <v>97.57694825460467</v>
      </c>
    </row>
    <row r="235" spans="1:17" s="78" customFormat="1" ht="22.5" customHeight="1">
      <c r="A235" s="77" t="s">
        <v>134</v>
      </c>
      <c r="B235" s="81" t="s">
        <v>133</v>
      </c>
      <c r="C235" s="234">
        <f aca="true" t="shared" si="40" ref="C235:D274">H235+M235</f>
        <v>249156.2</v>
      </c>
      <c r="D235" s="234">
        <f t="shared" si="40"/>
        <v>269020.94299999997</v>
      </c>
      <c r="E235" s="234">
        <f>J235+O235</f>
        <v>264205.259</v>
      </c>
      <c r="F235" s="235">
        <f t="shared" si="31"/>
        <v>-4815.68399999995</v>
      </c>
      <c r="G235" s="133">
        <f t="shared" si="32"/>
        <v>98.2099222661635</v>
      </c>
      <c r="H235" s="236">
        <v>179058.4</v>
      </c>
      <c r="I235" s="236">
        <v>198385.9</v>
      </c>
      <c r="J235" s="236">
        <v>196023.98</v>
      </c>
      <c r="K235" s="235">
        <f t="shared" si="33"/>
        <v>-2361.9199999999837</v>
      </c>
      <c r="L235" s="133">
        <f t="shared" si="34"/>
        <v>98.80943151705843</v>
      </c>
      <c r="M235" s="234">
        <v>70097.8</v>
      </c>
      <c r="N235" s="234">
        <v>70635.043</v>
      </c>
      <c r="O235" s="234">
        <v>68181.279</v>
      </c>
      <c r="P235" s="235">
        <f t="shared" si="35"/>
        <v>-2453.76400000001</v>
      </c>
      <c r="Q235" s="133">
        <f t="shared" si="36"/>
        <v>96.52613788314675</v>
      </c>
    </row>
    <row r="236" spans="1:17" s="78" customFormat="1" ht="22.5" customHeight="1">
      <c r="A236" s="77" t="s">
        <v>136</v>
      </c>
      <c r="B236" s="81" t="s">
        <v>135</v>
      </c>
      <c r="C236" s="234">
        <f t="shared" si="40"/>
        <v>157283.8</v>
      </c>
      <c r="D236" s="234">
        <f t="shared" si="40"/>
        <v>217287.296</v>
      </c>
      <c r="E236" s="234">
        <f>J236+O236</f>
        <v>212527.58000000002</v>
      </c>
      <c r="F236" s="235">
        <f t="shared" si="31"/>
        <v>-4759.715999999986</v>
      </c>
      <c r="G236" s="133">
        <f t="shared" si="32"/>
        <v>97.8094826123659</v>
      </c>
      <c r="H236" s="236">
        <v>117015.6</v>
      </c>
      <c r="I236" s="236">
        <v>170430</v>
      </c>
      <c r="J236" s="236">
        <v>167233.605</v>
      </c>
      <c r="K236" s="235">
        <f t="shared" si="33"/>
        <v>-3196.3949999999895</v>
      </c>
      <c r="L236" s="133">
        <f t="shared" si="34"/>
        <v>98.12451152966027</v>
      </c>
      <c r="M236" s="234">
        <v>40268.2</v>
      </c>
      <c r="N236" s="234">
        <v>46857.296</v>
      </c>
      <c r="O236" s="234">
        <v>45293.975</v>
      </c>
      <c r="P236" s="235">
        <f t="shared" si="35"/>
        <v>-1563.3210000000036</v>
      </c>
      <c r="Q236" s="133">
        <f t="shared" si="36"/>
        <v>96.66365511146864</v>
      </c>
    </row>
    <row r="237" spans="1:17" s="78" customFormat="1" ht="22.5" customHeight="1">
      <c r="A237" s="77" t="s">
        <v>443</v>
      </c>
      <c r="B237" s="81" t="s">
        <v>137</v>
      </c>
      <c r="C237" s="234">
        <f t="shared" si="40"/>
        <v>506852.80000000005</v>
      </c>
      <c r="D237" s="234">
        <f t="shared" si="40"/>
        <v>570291.687</v>
      </c>
      <c r="E237" s="234">
        <f>J237+O237</f>
        <v>567071.382</v>
      </c>
      <c r="F237" s="235">
        <f aca="true" t="shared" si="41" ref="F237:F301">E237-D237</f>
        <v>-3220.305000000051</v>
      </c>
      <c r="G237" s="133">
        <f aca="true" t="shared" si="42" ref="G237:G301">E237/D237*100</f>
        <v>99.43532317349033</v>
      </c>
      <c r="H237" s="234">
        <v>504776.4</v>
      </c>
      <c r="I237" s="234">
        <v>568311.8</v>
      </c>
      <c r="J237" s="234">
        <v>565503.995</v>
      </c>
      <c r="K237" s="235">
        <f aca="true" t="shared" si="43" ref="K237:K301">J237-I237</f>
        <v>-2807.805000000051</v>
      </c>
      <c r="L237" s="133">
        <f aca="true" t="shared" si="44" ref="L237:L301">J237/I237*100</f>
        <v>99.50593934526786</v>
      </c>
      <c r="M237" s="234">
        <v>2076.4</v>
      </c>
      <c r="N237" s="234">
        <v>1979.887</v>
      </c>
      <c r="O237" s="234">
        <v>1567.387</v>
      </c>
      <c r="P237" s="235">
        <f aca="true" t="shared" si="45" ref="P237:P301">O237-N237</f>
        <v>-412.5</v>
      </c>
      <c r="Q237" s="133">
        <f aca="true" t="shared" si="46" ref="Q237:Q301">O237/N237*100</f>
        <v>79.16547762574328</v>
      </c>
    </row>
    <row r="238" spans="1:17" s="78" customFormat="1" ht="22.5" customHeight="1">
      <c r="A238" s="77" t="s">
        <v>9</v>
      </c>
      <c r="B238" s="81" t="s">
        <v>138</v>
      </c>
      <c r="C238" s="234">
        <f t="shared" si="40"/>
        <v>43131.4</v>
      </c>
      <c r="D238" s="234">
        <f t="shared" si="40"/>
        <v>37602.6</v>
      </c>
      <c r="E238" s="234">
        <f aca="true" t="shared" si="47" ref="E238:E274">J238+O238</f>
        <v>36517.317</v>
      </c>
      <c r="F238" s="235">
        <f t="shared" si="41"/>
        <v>-1085.2829999999958</v>
      </c>
      <c r="G238" s="133">
        <f t="shared" si="42"/>
        <v>97.11380861961673</v>
      </c>
      <c r="H238" s="236">
        <v>40907.3</v>
      </c>
      <c r="I238" s="236">
        <v>35311.5</v>
      </c>
      <c r="J238" s="236">
        <v>34336.017</v>
      </c>
      <c r="K238" s="235">
        <f t="shared" si="43"/>
        <v>-975.4830000000002</v>
      </c>
      <c r="L238" s="133">
        <f t="shared" si="44"/>
        <v>97.23749203517268</v>
      </c>
      <c r="M238" s="234">
        <v>2224.1</v>
      </c>
      <c r="N238" s="234">
        <v>2291.1</v>
      </c>
      <c r="O238" s="234">
        <v>2181.3</v>
      </c>
      <c r="P238" s="235">
        <f t="shared" si="45"/>
        <v>-109.79999999999973</v>
      </c>
      <c r="Q238" s="133">
        <f t="shared" si="46"/>
        <v>95.20754222862382</v>
      </c>
    </row>
    <row r="239" spans="1:17" s="78" customFormat="1" ht="22.5" customHeight="1">
      <c r="A239" s="77" t="s">
        <v>140</v>
      </c>
      <c r="B239" s="81" t="s">
        <v>139</v>
      </c>
      <c r="C239" s="234">
        <f t="shared" si="40"/>
        <v>18224.899999999998</v>
      </c>
      <c r="D239" s="234">
        <f t="shared" si="40"/>
        <v>15324.484</v>
      </c>
      <c r="E239" s="234">
        <f t="shared" si="47"/>
        <v>14156.692</v>
      </c>
      <c r="F239" s="235">
        <f t="shared" si="41"/>
        <v>-1167.7920000000013</v>
      </c>
      <c r="G239" s="133">
        <f t="shared" si="42"/>
        <v>92.37956723371565</v>
      </c>
      <c r="H239" s="236">
        <v>14854.3</v>
      </c>
      <c r="I239" s="236">
        <v>11921.8</v>
      </c>
      <c r="J239" s="236">
        <v>10972.14</v>
      </c>
      <c r="K239" s="235">
        <f t="shared" si="43"/>
        <v>-949.6599999999999</v>
      </c>
      <c r="L239" s="133">
        <f t="shared" si="44"/>
        <v>92.03425657199416</v>
      </c>
      <c r="M239" s="234">
        <v>3370.6</v>
      </c>
      <c r="N239" s="234">
        <v>3402.684</v>
      </c>
      <c r="O239" s="234">
        <v>3184.552</v>
      </c>
      <c r="P239" s="235">
        <f t="shared" si="45"/>
        <v>-218.13200000000006</v>
      </c>
      <c r="Q239" s="133">
        <f t="shared" si="46"/>
        <v>93.58941353355175</v>
      </c>
    </row>
    <row r="240" spans="1:17" s="78" customFormat="1" ht="22.5" customHeight="1">
      <c r="A240" s="77" t="s">
        <v>444</v>
      </c>
      <c r="B240" s="81" t="s">
        <v>141</v>
      </c>
      <c r="C240" s="234">
        <f t="shared" si="40"/>
        <v>584856</v>
      </c>
      <c r="D240" s="234">
        <f t="shared" si="40"/>
        <v>506103.42000000004</v>
      </c>
      <c r="E240" s="234">
        <f t="shared" si="47"/>
        <v>445367.228</v>
      </c>
      <c r="F240" s="235">
        <f t="shared" si="41"/>
        <v>-60736.19200000004</v>
      </c>
      <c r="G240" s="133">
        <f t="shared" si="42"/>
        <v>87.99925280093937</v>
      </c>
      <c r="H240" s="234">
        <v>373988.1</v>
      </c>
      <c r="I240" s="234">
        <v>277937.4</v>
      </c>
      <c r="J240" s="240">
        <v>228881.627</v>
      </c>
      <c r="K240" s="235">
        <f t="shared" si="43"/>
        <v>-49055.773000000016</v>
      </c>
      <c r="L240" s="133">
        <f t="shared" si="44"/>
        <v>82.35006407917753</v>
      </c>
      <c r="M240" s="234">
        <v>210867.9</v>
      </c>
      <c r="N240" s="234">
        <v>228166.02</v>
      </c>
      <c r="O240" s="234">
        <v>216485.601</v>
      </c>
      <c r="P240" s="235">
        <f t="shared" si="45"/>
        <v>-11680.418999999994</v>
      </c>
      <c r="Q240" s="133">
        <f t="shared" si="46"/>
        <v>94.88073684240975</v>
      </c>
    </row>
    <row r="241" spans="1:17" s="78" customFormat="1" ht="22.5" customHeight="1" hidden="1">
      <c r="A241" s="77" t="s">
        <v>290</v>
      </c>
      <c r="B241" s="81" t="s">
        <v>285</v>
      </c>
      <c r="C241" s="234">
        <f t="shared" si="40"/>
        <v>0</v>
      </c>
      <c r="D241" s="234">
        <f t="shared" si="40"/>
        <v>0</v>
      </c>
      <c r="E241" s="234">
        <f t="shared" si="47"/>
        <v>0</v>
      </c>
      <c r="F241" s="235">
        <f t="shared" si="41"/>
        <v>0</v>
      </c>
      <c r="G241" s="133" t="e">
        <f t="shared" si="42"/>
        <v>#DIV/0!</v>
      </c>
      <c r="H241" s="236"/>
      <c r="I241" s="236"/>
      <c r="J241" s="236"/>
      <c r="K241" s="235">
        <f t="shared" si="43"/>
        <v>0</v>
      </c>
      <c r="L241" s="133" t="e">
        <f t="shared" si="44"/>
        <v>#DIV/0!</v>
      </c>
      <c r="M241" s="234"/>
      <c r="N241" s="234"/>
      <c r="O241" s="234"/>
      <c r="P241" s="235">
        <f t="shared" si="45"/>
        <v>0</v>
      </c>
      <c r="Q241" s="133" t="e">
        <f t="shared" si="46"/>
        <v>#DIV/0!</v>
      </c>
    </row>
    <row r="242" spans="1:17" s="78" customFormat="1" ht="22.5" customHeight="1">
      <c r="A242" s="77" t="s">
        <v>519</v>
      </c>
      <c r="B242" s="81" t="s">
        <v>286</v>
      </c>
      <c r="C242" s="234">
        <f t="shared" si="40"/>
        <v>9745</v>
      </c>
      <c r="D242" s="234">
        <f t="shared" si="40"/>
        <v>4439.9</v>
      </c>
      <c r="E242" s="234">
        <f t="shared" si="47"/>
        <v>4423.327</v>
      </c>
      <c r="F242" s="235">
        <f t="shared" si="41"/>
        <v>-16.57299999999941</v>
      </c>
      <c r="G242" s="133">
        <f t="shared" si="42"/>
        <v>99.62672582715828</v>
      </c>
      <c r="H242" s="236">
        <v>9500</v>
      </c>
      <c r="I242" s="236">
        <v>4214.9</v>
      </c>
      <c r="J242" s="236">
        <v>4203.328</v>
      </c>
      <c r="K242" s="235">
        <f t="shared" si="43"/>
        <v>-11.571999999999207</v>
      </c>
      <c r="L242" s="133">
        <f t="shared" si="44"/>
        <v>99.72545018861659</v>
      </c>
      <c r="M242" s="234">
        <v>245</v>
      </c>
      <c r="N242" s="234">
        <v>225</v>
      </c>
      <c r="O242" s="234">
        <v>219.999</v>
      </c>
      <c r="P242" s="235">
        <f t="shared" si="45"/>
        <v>-5.001000000000005</v>
      </c>
      <c r="Q242" s="133">
        <f t="shared" si="46"/>
        <v>97.77733333333333</v>
      </c>
    </row>
    <row r="243" spans="1:17" s="78" customFormat="1" ht="22.5" customHeight="1">
      <c r="A243" s="77" t="s">
        <v>169</v>
      </c>
      <c r="B243" s="81" t="s">
        <v>287</v>
      </c>
      <c r="C243" s="234">
        <f t="shared" si="40"/>
        <v>88562.4</v>
      </c>
      <c r="D243" s="234">
        <f t="shared" si="40"/>
        <v>79673.8</v>
      </c>
      <c r="E243" s="234">
        <f t="shared" si="47"/>
        <v>79665.093</v>
      </c>
      <c r="F243" s="235">
        <f t="shared" si="41"/>
        <v>-8.70700000000943</v>
      </c>
      <c r="G243" s="133">
        <f t="shared" si="42"/>
        <v>99.9890716898152</v>
      </c>
      <c r="H243" s="236">
        <v>83762.4</v>
      </c>
      <c r="I243" s="236">
        <v>74873.8</v>
      </c>
      <c r="J243" s="236">
        <v>74867.093</v>
      </c>
      <c r="K243" s="235">
        <f t="shared" si="43"/>
        <v>-6.70700000000943</v>
      </c>
      <c r="L243" s="133">
        <f t="shared" si="44"/>
        <v>99.99104226044356</v>
      </c>
      <c r="M243" s="234">
        <v>4800</v>
      </c>
      <c r="N243" s="234">
        <v>4800</v>
      </c>
      <c r="O243" s="234">
        <v>4798</v>
      </c>
      <c r="P243" s="235">
        <f t="shared" si="45"/>
        <v>-2</v>
      </c>
      <c r="Q243" s="133">
        <f t="shared" si="46"/>
        <v>99.95833333333334</v>
      </c>
    </row>
    <row r="244" spans="1:17" s="78" customFormat="1" ht="22.5" customHeight="1">
      <c r="A244" s="77" t="s">
        <v>446</v>
      </c>
      <c r="B244" s="81" t="s">
        <v>445</v>
      </c>
      <c r="C244" s="234">
        <f t="shared" si="40"/>
        <v>36056.4</v>
      </c>
      <c r="D244" s="234">
        <f t="shared" si="40"/>
        <v>35020.016</v>
      </c>
      <c r="E244" s="234">
        <f t="shared" si="47"/>
        <v>28911.933</v>
      </c>
      <c r="F244" s="235">
        <f t="shared" si="41"/>
        <v>-6108.083000000002</v>
      </c>
      <c r="G244" s="133">
        <f t="shared" si="42"/>
        <v>82.55830893966467</v>
      </c>
      <c r="H244" s="236">
        <v>8161.5</v>
      </c>
      <c r="I244" s="236">
        <v>7453</v>
      </c>
      <c r="J244" s="236">
        <v>6525.693</v>
      </c>
      <c r="K244" s="235">
        <f t="shared" si="43"/>
        <v>-927.3069999999998</v>
      </c>
      <c r="L244" s="133">
        <f t="shared" si="44"/>
        <v>87.55793640144908</v>
      </c>
      <c r="M244" s="234">
        <v>27894.9</v>
      </c>
      <c r="N244" s="234">
        <v>27567.016</v>
      </c>
      <c r="O244" s="234">
        <v>22386.24</v>
      </c>
      <c r="P244" s="235">
        <f t="shared" si="45"/>
        <v>-5180.775999999998</v>
      </c>
      <c r="Q244" s="133">
        <f t="shared" si="46"/>
        <v>81.20661300446884</v>
      </c>
    </row>
    <row r="245" spans="1:17" s="78" customFormat="1" ht="22.5" customHeight="1">
      <c r="A245" s="77" t="s">
        <v>448</v>
      </c>
      <c r="B245" s="81" t="s">
        <v>447</v>
      </c>
      <c r="C245" s="234">
        <f t="shared" si="40"/>
        <v>70236.9</v>
      </c>
      <c r="D245" s="234">
        <f t="shared" si="40"/>
        <v>53779.932</v>
      </c>
      <c r="E245" s="234">
        <f t="shared" si="47"/>
        <v>47204.642</v>
      </c>
      <c r="F245" s="235">
        <f t="shared" si="41"/>
        <v>-6575.290000000001</v>
      </c>
      <c r="G245" s="133">
        <f t="shared" si="42"/>
        <v>87.77371083325282</v>
      </c>
      <c r="H245" s="236">
        <v>40275.3</v>
      </c>
      <c r="I245" s="236">
        <v>24021.7</v>
      </c>
      <c r="J245" s="236">
        <v>22555.289</v>
      </c>
      <c r="K245" s="235">
        <f t="shared" si="43"/>
        <v>-1466.411</v>
      </c>
      <c r="L245" s="133">
        <f t="shared" si="44"/>
        <v>93.89547367588472</v>
      </c>
      <c r="M245" s="234">
        <v>29961.6</v>
      </c>
      <c r="N245" s="234">
        <v>29758.232</v>
      </c>
      <c r="O245" s="234">
        <v>24649.353</v>
      </c>
      <c r="P245" s="235">
        <f t="shared" si="45"/>
        <v>-5108.879000000001</v>
      </c>
      <c r="Q245" s="133">
        <f t="shared" si="46"/>
        <v>82.83204795231114</v>
      </c>
    </row>
    <row r="246" spans="1:17" s="78" customFormat="1" ht="22.5" customHeight="1">
      <c r="A246" s="77" t="s">
        <v>170</v>
      </c>
      <c r="B246" s="81" t="s">
        <v>449</v>
      </c>
      <c r="C246" s="234">
        <f t="shared" si="40"/>
        <v>10417.1</v>
      </c>
      <c r="D246" s="234">
        <f t="shared" si="40"/>
        <v>17918.66</v>
      </c>
      <c r="E246" s="234">
        <f t="shared" si="47"/>
        <v>17163.447</v>
      </c>
      <c r="F246" s="235">
        <f t="shared" si="41"/>
        <v>-755.2129999999997</v>
      </c>
      <c r="G246" s="133">
        <f t="shared" si="42"/>
        <v>95.78532658134034</v>
      </c>
      <c r="H246" s="236">
        <v>8450.1</v>
      </c>
      <c r="I246" s="236">
        <v>14398</v>
      </c>
      <c r="J246" s="236">
        <v>14203.566</v>
      </c>
      <c r="K246" s="235">
        <f t="shared" si="43"/>
        <v>-194.4339999999993</v>
      </c>
      <c r="L246" s="133">
        <f t="shared" si="44"/>
        <v>98.64957633004585</v>
      </c>
      <c r="M246" s="234">
        <v>1967</v>
      </c>
      <c r="N246" s="234">
        <v>3520.66</v>
      </c>
      <c r="O246" s="234">
        <v>2959.881</v>
      </c>
      <c r="P246" s="235">
        <f t="shared" si="45"/>
        <v>-560.779</v>
      </c>
      <c r="Q246" s="133">
        <f t="shared" si="46"/>
        <v>84.07176495316219</v>
      </c>
    </row>
    <row r="247" spans="1:17" s="78" customFormat="1" ht="22.5" customHeight="1">
      <c r="A247" s="77" t="s">
        <v>451</v>
      </c>
      <c r="B247" s="81" t="s">
        <v>450</v>
      </c>
      <c r="C247" s="234">
        <f t="shared" si="40"/>
        <v>5152.6</v>
      </c>
      <c r="D247" s="234">
        <f t="shared" si="40"/>
        <v>4652.27</v>
      </c>
      <c r="E247" s="234">
        <f t="shared" si="47"/>
        <v>4268.6720000000005</v>
      </c>
      <c r="F247" s="235">
        <f t="shared" si="41"/>
        <v>-383.59799999999996</v>
      </c>
      <c r="G247" s="133">
        <f t="shared" si="42"/>
        <v>91.75460581608547</v>
      </c>
      <c r="H247" s="236">
        <v>2521.6</v>
      </c>
      <c r="I247" s="236">
        <v>1986</v>
      </c>
      <c r="J247" s="236">
        <v>1944.073</v>
      </c>
      <c r="K247" s="235">
        <f t="shared" si="43"/>
        <v>-41.92699999999991</v>
      </c>
      <c r="L247" s="133">
        <f t="shared" si="44"/>
        <v>97.88887210473314</v>
      </c>
      <c r="M247" s="234">
        <v>2631</v>
      </c>
      <c r="N247" s="234">
        <v>2666.27</v>
      </c>
      <c r="O247" s="234">
        <v>2324.599</v>
      </c>
      <c r="P247" s="235">
        <f t="shared" si="45"/>
        <v>-341.6709999999998</v>
      </c>
      <c r="Q247" s="133">
        <f t="shared" si="46"/>
        <v>87.18543133291078</v>
      </c>
    </row>
    <row r="248" spans="1:17" s="78" customFormat="1" ht="22.5" customHeight="1">
      <c r="A248" s="77" t="s">
        <v>453</v>
      </c>
      <c r="B248" s="81" t="s">
        <v>452</v>
      </c>
      <c r="C248" s="234">
        <f t="shared" si="40"/>
        <v>16214.699999999999</v>
      </c>
      <c r="D248" s="234">
        <f t="shared" si="40"/>
        <v>17532.5</v>
      </c>
      <c r="E248" s="234">
        <f t="shared" si="47"/>
        <v>16429.845999999998</v>
      </c>
      <c r="F248" s="235">
        <f t="shared" si="41"/>
        <v>-1102.6540000000023</v>
      </c>
      <c r="G248" s="133">
        <f t="shared" si="42"/>
        <v>93.71079994296305</v>
      </c>
      <c r="H248" s="236">
        <v>13979.3</v>
      </c>
      <c r="I248" s="236">
        <v>15569.5</v>
      </c>
      <c r="J248" s="236">
        <v>14466.934</v>
      </c>
      <c r="K248" s="235">
        <f t="shared" si="43"/>
        <v>-1102.5660000000007</v>
      </c>
      <c r="L248" s="133">
        <f t="shared" si="44"/>
        <v>92.91842384148495</v>
      </c>
      <c r="M248" s="234">
        <v>2235.4</v>
      </c>
      <c r="N248" s="234">
        <v>1963</v>
      </c>
      <c r="O248" s="234">
        <v>1962.912</v>
      </c>
      <c r="P248" s="235">
        <f t="shared" si="45"/>
        <v>-0.08799999999996544</v>
      </c>
      <c r="Q248" s="133">
        <f t="shared" si="46"/>
        <v>99.99551706571575</v>
      </c>
    </row>
    <row r="249" spans="1:17" s="78" customFormat="1" ht="22.5" customHeight="1" hidden="1">
      <c r="A249" s="77" t="s">
        <v>455</v>
      </c>
      <c r="B249" s="81" t="s">
        <v>454</v>
      </c>
      <c r="C249" s="234">
        <f t="shared" si="40"/>
        <v>0</v>
      </c>
      <c r="D249" s="234">
        <f t="shared" si="40"/>
        <v>0</v>
      </c>
      <c r="E249" s="234">
        <f t="shared" si="47"/>
        <v>0</v>
      </c>
      <c r="F249" s="235">
        <f t="shared" si="41"/>
        <v>0</v>
      </c>
      <c r="G249" s="133" t="e">
        <f t="shared" si="42"/>
        <v>#DIV/0!</v>
      </c>
      <c r="H249" s="236"/>
      <c r="I249" s="236"/>
      <c r="J249" s="236"/>
      <c r="K249" s="235">
        <f t="shared" si="43"/>
        <v>0</v>
      </c>
      <c r="L249" s="133" t="e">
        <f t="shared" si="44"/>
        <v>#DIV/0!</v>
      </c>
      <c r="M249" s="234"/>
      <c r="N249" s="234"/>
      <c r="O249" s="234"/>
      <c r="P249" s="235">
        <f t="shared" si="45"/>
        <v>0</v>
      </c>
      <c r="Q249" s="133" t="e">
        <f t="shared" si="46"/>
        <v>#DIV/0!</v>
      </c>
    </row>
    <row r="250" spans="1:17" s="78" customFormat="1" ht="22.5" customHeight="1">
      <c r="A250" s="77" t="s">
        <v>543</v>
      </c>
      <c r="B250" s="81" t="s">
        <v>456</v>
      </c>
      <c r="C250" s="234">
        <f t="shared" si="40"/>
        <v>88460.2</v>
      </c>
      <c r="D250" s="234">
        <f t="shared" si="40"/>
        <v>108473.169</v>
      </c>
      <c r="E250" s="234">
        <f t="shared" si="47"/>
        <v>96998.02799999999</v>
      </c>
      <c r="F250" s="235">
        <f t="shared" si="41"/>
        <v>-11475.141000000003</v>
      </c>
      <c r="G250" s="133">
        <f t="shared" si="42"/>
        <v>89.42121714909979</v>
      </c>
      <c r="H250" s="236">
        <v>48719.1</v>
      </c>
      <c r="I250" s="236">
        <v>70185.5</v>
      </c>
      <c r="J250" s="236">
        <v>66424.904</v>
      </c>
      <c r="K250" s="235">
        <f t="shared" si="43"/>
        <v>-3760.596000000005</v>
      </c>
      <c r="L250" s="133">
        <f t="shared" si="44"/>
        <v>94.64191891487557</v>
      </c>
      <c r="M250" s="234">
        <v>39741.1</v>
      </c>
      <c r="N250" s="234">
        <v>38287.669</v>
      </c>
      <c r="O250" s="234">
        <v>30573.124</v>
      </c>
      <c r="P250" s="235">
        <f t="shared" si="45"/>
        <v>-7714.545000000002</v>
      </c>
      <c r="Q250" s="133">
        <f t="shared" si="46"/>
        <v>79.85109775160247</v>
      </c>
    </row>
    <row r="251" spans="1:17" s="78" customFormat="1" ht="22.5" customHeight="1" hidden="1">
      <c r="A251" s="77" t="s">
        <v>167</v>
      </c>
      <c r="B251" s="81" t="s">
        <v>457</v>
      </c>
      <c r="C251" s="234">
        <f t="shared" si="40"/>
        <v>0</v>
      </c>
      <c r="D251" s="234">
        <f t="shared" si="40"/>
        <v>0</v>
      </c>
      <c r="E251" s="234">
        <f t="shared" si="47"/>
        <v>0</v>
      </c>
      <c r="F251" s="235">
        <f t="shared" si="41"/>
        <v>0</v>
      </c>
      <c r="G251" s="133" t="e">
        <f t="shared" si="42"/>
        <v>#DIV/0!</v>
      </c>
      <c r="H251" s="236"/>
      <c r="I251" s="236"/>
      <c r="J251" s="236"/>
      <c r="K251" s="235">
        <f t="shared" si="43"/>
        <v>0</v>
      </c>
      <c r="L251" s="133" t="e">
        <f t="shared" si="44"/>
        <v>#DIV/0!</v>
      </c>
      <c r="M251" s="234"/>
      <c r="N251" s="234"/>
      <c r="O251" s="234"/>
      <c r="P251" s="235">
        <f t="shared" si="45"/>
        <v>0</v>
      </c>
      <c r="Q251" s="133" t="e">
        <f t="shared" si="46"/>
        <v>#DIV/0!</v>
      </c>
    </row>
    <row r="252" spans="1:17" s="78" customFormat="1" ht="22.5" customHeight="1" hidden="1">
      <c r="A252" s="77" t="s">
        <v>168</v>
      </c>
      <c r="B252" s="81" t="s">
        <v>458</v>
      </c>
      <c r="C252" s="234">
        <f t="shared" si="40"/>
        <v>0</v>
      </c>
      <c r="D252" s="234">
        <f t="shared" si="40"/>
        <v>0</v>
      </c>
      <c r="E252" s="234">
        <f t="shared" si="47"/>
        <v>0</v>
      </c>
      <c r="F252" s="235">
        <f t="shared" si="41"/>
        <v>0</v>
      </c>
      <c r="G252" s="133" t="e">
        <f t="shared" si="42"/>
        <v>#DIV/0!</v>
      </c>
      <c r="H252" s="236"/>
      <c r="I252" s="236"/>
      <c r="J252" s="236"/>
      <c r="K252" s="235">
        <f t="shared" si="43"/>
        <v>0</v>
      </c>
      <c r="L252" s="133" t="e">
        <f t="shared" si="44"/>
        <v>#DIV/0!</v>
      </c>
      <c r="M252" s="234"/>
      <c r="N252" s="234"/>
      <c r="O252" s="234"/>
      <c r="P252" s="235">
        <f t="shared" si="45"/>
        <v>0</v>
      </c>
      <c r="Q252" s="133" t="e">
        <f t="shared" si="46"/>
        <v>#DIV/0!</v>
      </c>
    </row>
    <row r="253" spans="1:17" s="78" customFormat="1" ht="22.5" customHeight="1" hidden="1">
      <c r="A253" s="77" t="s">
        <v>24</v>
      </c>
      <c r="B253" s="81" t="s">
        <v>459</v>
      </c>
      <c r="C253" s="234">
        <f t="shared" si="40"/>
        <v>0</v>
      </c>
      <c r="D253" s="234">
        <f t="shared" si="40"/>
        <v>0</v>
      </c>
      <c r="E253" s="234">
        <f t="shared" si="47"/>
        <v>0</v>
      </c>
      <c r="F253" s="235">
        <f t="shared" si="41"/>
        <v>0</v>
      </c>
      <c r="G253" s="133" t="e">
        <f t="shared" si="42"/>
        <v>#DIV/0!</v>
      </c>
      <c r="H253" s="236"/>
      <c r="I253" s="236"/>
      <c r="J253" s="236"/>
      <c r="K253" s="235">
        <f t="shared" si="43"/>
        <v>0</v>
      </c>
      <c r="L253" s="133" t="e">
        <f t="shared" si="44"/>
        <v>#DIV/0!</v>
      </c>
      <c r="M253" s="234"/>
      <c r="N253" s="234"/>
      <c r="O253" s="234"/>
      <c r="P253" s="235">
        <f t="shared" si="45"/>
        <v>0</v>
      </c>
      <c r="Q253" s="133" t="e">
        <f t="shared" si="46"/>
        <v>#DIV/0!</v>
      </c>
    </row>
    <row r="254" spans="1:17" s="78" customFormat="1" ht="22.5" customHeight="1">
      <c r="A254" s="77" t="s">
        <v>461</v>
      </c>
      <c r="B254" s="81" t="s">
        <v>460</v>
      </c>
      <c r="C254" s="357">
        <f t="shared" si="40"/>
        <v>0</v>
      </c>
      <c r="D254" s="234">
        <f t="shared" si="40"/>
        <v>805.6</v>
      </c>
      <c r="E254" s="234">
        <f t="shared" si="47"/>
        <v>805.6</v>
      </c>
      <c r="F254" s="351">
        <f t="shared" si="41"/>
        <v>0</v>
      </c>
      <c r="G254" s="133">
        <f t="shared" si="42"/>
        <v>100</v>
      </c>
      <c r="H254" s="236"/>
      <c r="I254" s="236">
        <v>805.6</v>
      </c>
      <c r="J254" s="236">
        <v>805.6</v>
      </c>
      <c r="K254" s="351">
        <f t="shared" si="43"/>
        <v>0</v>
      </c>
      <c r="L254" s="133">
        <f t="shared" si="44"/>
        <v>100</v>
      </c>
      <c r="M254" s="234"/>
      <c r="N254" s="234"/>
      <c r="O254" s="234"/>
      <c r="P254" s="351">
        <f t="shared" si="45"/>
        <v>0</v>
      </c>
      <c r="Q254" s="352" t="e">
        <f t="shared" si="46"/>
        <v>#DIV/0!</v>
      </c>
    </row>
    <row r="255" spans="1:17" s="78" customFormat="1" ht="22.5" customHeight="1" hidden="1">
      <c r="A255" s="77" t="s">
        <v>143</v>
      </c>
      <c r="B255" s="81" t="s">
        <v>142</v>
      </c>
      <c r="C255" s="234">
        <f t="shared" si="40"/>
        <v>0</v>
      </c>
      <c r="D255" s="234">
        <f t="shared" si="40"/>
        <v>0</v>
      </c>
      <c r="E255" s="234">
        <f t="shared" si="47"/>
        <v>0</v>
      </c>
      <c r="F255" s="235">
        <f t="shared" si="41"/>
        <v>0</v>
      </c>
      <c r="G255" s="133" t="e">
        <f t="shared" si="42"/>
        <v>#DIV/0!</v>
      </c>
      <c r="H255" s="236"/>
      <c r="I255" s="236"/>
      <c r="J255" s="236"/>
      <c r="K255" s="235">
        <f t="shared" si="43"/>
        <v>0</v>
      </c>
      <c r="L255" s="133" t="e">
        <f t="shared" si="44"/>
        <v>#DIV/0!</v>
      </c>
      <c r="M255" s="234"/>
      <c r="N255" s="234"/>
      <c r="O255" s="234"/>
      <c r="P255" s="235">
        <f t="shared" si="45"/>
        <v>0</v>
      </c>
      <c r="Q255" s="133" t="e">
        <f t="shared" si="46"/>
        <v>#DIV/0!</v>
      </c>
    </row>
    <row r="256" spans="1:17" s="78" customFormat="1" ht="22.5" customHeight="1" hidden="1">
      <c r="A256" s="77" t="s">
        <v>145</v>
      </c>
      <c r="B256" s="81" t="s">
        <v>144</v>
      </c>
      <c r="C256" s="234">
        <f t="shared" si="40"/>
        <v>0</v>
      </c>
      <c r="D256" s="234">
        <f t="shared" si="40"/>
        <v>0</v>
      </c>
      <c r="E256" s="234">
        <f t="shared" si="47"/>
        <v>0</v>
      </c>
      <c r="F256" s="235">
        <f t="shared" si="41"/>
        <v>0</v>
      </c>
      <c r="G256" s="133" t="e">
        <f t="shared" si="42"/>
        <v>#DIV/0!</v>
      </c>
      <c r="H256" s="236"/>
      <c r="I256" s="236"/>
      <c r="J256" s="236"/>
      <c r="K256" s="235">
        <f t="shared" si="43"/>
        <v>0</v>
      </c>
      <c r="L256" s="133" t="e">
        <f t="shared" si="44"/>
        <v>#DIV/0!</v>
      </c>
      <c r="M256" s="234"/>
      <c r="N256" s="234"/>
      <c r="O256" s="234"/>
      <c r="P256" s="235">
        <f t="shared" si="45"/>
        <v>0</v>
      </c>
      <c r="Q256" s="133" t="e">
        <f t="shared" si="46"/>
        <v>#DIV/0!</v>
      </c>
    </row>
    <row r="257" spans="1:17" s="78" customFormat="1" ht="22.5" customHeight="1" hidden="1">
      <c r="A257" s="77" t="s">
        <v>289</v>
      </c>
      <c r="B257" s="81" t="s">
        <v>288</v>
      </c>
      <c r="C257" s="234">
        <f t="shared" si="40"/>
        <v>0</v>
      </c>
      <c r="D257" s="234">
        <f t="shared" si="40"/>
        <v>0</v>
      </c>
      <c r="E257" s="234">
        <f t="shared" si="47"/>
        <v>0</v>
      </c>
      <c r="F257" s="235">
        <f t="shared" si="41"/>
        <v>0</v>
      </c>
      <c r="G257" s="133" t="e">
        <f t="shared" si="42"/>
        <v>#DIV/0!</v>
      </c>
      <c r="H257" s="236"/>
      <c r="I257" s="236"/>
      <c r="J257" s="236"/>
      <c r="K257" s="235">
        <f t="shared" si="43"/>
        <v>0</v>
      </c>
      <c r="L257" s="133" t="e">
        <f t="shared" si="44"/>
        <v>#DIV/0!</v>
      </c>
      <c r="M257" s="234"/>
      <c r="N257" s="234"/>
      <c r="O257" s="234"/>
      <c r="P257" s="235">
        <f t="shared" si="45"/>
        <v>0</v>
      </c>
      <c r="Q257" s="133" t="e">
        <f t="shared" si="46"/>
        <v>#DIV/0!</v>
      </c>
    </row>
    <row r="258" spans="1:17" s="78" customFormat="1" ht="22.5" customHeight="1" hidden="1">
      <c r="A258" s="77" t="s">
        <v>292</v>
      </c>
      <c r="B258" s="81" t="s">
        <v>291</v>
      </c>
      <c r="C258" s="234">
        <f t="shared" si="40"/>
        <v>0</v>
      </c>
      <c r="D258" s="234">
        <f t="shared" si="40"/>
        <v>0</v>
      </c>
      <c r="E258" s="234">
        <f t="shared" si="47"/>
        <v>0</v>
      </c>
      <c r="F258" s="235">
        <f t="shared" si="41"/>
        <v>0</v>
      </c>
      <c r="G258" s="133" t="e">
        <f t="shared" si="42"/>
        <v>#DIV/0!</v>
      </c>
      <c r="H258" s="236"/>
      <c r="I258" s="236"/>
      <c r="J258" s="236"/>
      <c r="K258" s="235">
        <f t="shared" si="43"/>
        <v>0</v>
      </c>
      <c r="L258" s="133" t="e">
        <f t="shared" si="44"/>
        <v>#DIV/0!</v>
      </c>
      <c r="M258" s="234"/>
      <c r="N258" s="234"/>
      <c r="O258" s="234"/>
      <c r="P258" s="235">
        <f t="shared" si="45"/>
        <v>0</v>
      </c>
      <c r="Q258" s="133" t="e">
        <f t="shared" si="46"/>
        <v>#DIV/0!</v>
      </c>
    </row>
    <row r="259" spans="1:17" s="78" customFormat="1" ht="22.5" customHeight="1">
      <c r="A259" s="77" t="s">
        <v>162</v>
      </c>
      <c r="B259" s="81" t="s">
        <v>161</v>
      </c>
      <c r="C259" s="234">
        <f t="shared" si="40"/>
        <v>21500</v>
      </c>
      <c r="D259" s="234">
        <f t="shared" si="40"/>
        <v>21500</v>
      </c>
      <c r="E259" s="234">
        <f t="shared" si="47"/>
        <v>21500</v>
      </c>
      <c r="F259" s="351">
        <f t="shared" si="41"/>
        <v>0</v>
      </c>
      <c r="G259" s="133">
        <f t="shared" si="42"/>
        <v>100</v>
      </c>
      <c r="H259" s="236"/>
      <c r="I259" s="236"/>
      <c r="J259" s="236"/>
      <c r="K259" s="351">
        <f t="shared" si="43"/>
        <v>0</v>
      </c>
      <c r="L259" s="352" t="e">
        <f t="shared" si="44"/>
        <v>#DIV/0!</v>
      </c>
      <c r="M259" s="234">
        <v>21500</v>
      </c>
      <c r="N259" s="234">
        <v>21500</v>
      </c>
      <c r="O259" s="234">
        <v>21500</v>
      </c>
      <c r="P259" s="351">
        <f t="shared" si="45"/>
        <v>0</v>
      </c>
      <c r="Q259" s="133">
        <f t="shared" si="46"/>
        <v>100</v>
      </c>
    </row>
    <row r="260" spans="1:17" s="78" customFormat="1" ht="22.5" customHeight="1" hidden="1">
      <c r="A260" s="77" t="s">
        <v>164</v>
      </c>
      <c r="B260" s="81" t="s">
        <v>163</v>
      </c>
      <c r="C260" s="234">
        <f t="shared" si="40"/>
        <v>0</v>
      </c>
      <c r="D260" s="234">
        <f t="shared" si="40"/>
        <v>0</v>
      </c>
      <c r="E260" s="234">
        <f t="shared" si="47"/>
        <v>0</v>
      </c>
      <c r="F260" s="235">
        <f t="shared" si="41"/>
        <v>0</v>
      </c>
      <c r="G260" s="133" t="e">
        <f t="shared" si="42"/>
        <v>#DIV/0!</v>
      </c>
      <c r="H260" s="236"/>
      <c r="I260" s="236"/>
      <c r="J260" s="236"/>
      <c r="K260" s="235">
        <f t="shared" si="43"/>
        <v>0</v>
      </c>
      <c r="L260" s="133" t="e">
        <f t="shared" si="44"/>
        <v>#DIV/0!</v>
      </c>
      <c r="M260" s="234"/>
      <c r="N260" s="234"/>
      <c r="O260" s="234"/>
      <c r="P260" s="235">
        <f t="shared" si="45"/>
        <v>0</v>
      </c>
      <c r="Q260" s="133" t="e">
        <f t="shared" si="46"/>
        <v>#DIV/0!</v>
      </c>
    </row>
    <row r="261" spans="1:17" s="78" customFormat="1" ht="22.5" customHeight="1" hidden="1">
      <c r="A261" s="77" t="s">
        <v>462</v>
      </c>
      <c r="B261" s="81" t="s">
        <v>165</v>
      </c>
      <c r="C261" s="234">
        <f t="shared" si="40"/>
        <v>0</v>
      </c>
      <c r="D261" s="234">
        <f t="shared" si="40"/>
        <v>0</v>
      </c>
      <c r="E261" s="234">
        <f t="shared" si="47"/>
        <v>0</v>
      </c>
      <c r="F261" s="235">
        <f t="shared" si="41"/>
        <v>0</v>
      </c>
      <c r="G261" s="133" t="e">
        <f t="shared" si="42"/>
        <v>#DIV/0!</v>
      </c>
      <c r="H261" s="236"/>
      <c r="I261" s="236"/>
      <c r="J261" s="236"/>
      <c r="K261" s="235">
        <f t="shared" si="43"/>
        <v>0</v>
      </c>
      <c r="L261" s="133" t="e">
        <f t="shared" si="44"/>
        <v>#DIV/0!</v>
      </c>
      <c r="M261" s="234"/>
      <c r="N261" s="234"/>
      <c r="O261" s="234"/>
      <c r="P261" s="235">
        <f t="shared" si="45"/>
        <v>0</v>
      </c>
      <c r="Q261" s="133" t="e">
        <f t="shared" si="46"/>
        <v>#DIV/0!</v>
      </c>
    </row>
    <row r="262" spans="1:17" s="78" customFormat="1" ht="22.5" customHeight="1" hidden="1">
      <c r="A262" s="77" t="s">
        <v>294</v>
      </c>
      <c r="B262" s="81" t="s">
        <v>293</v>
      </c>
      <c r="C262" s="234">
        <f t="shared" si="40"/>
        <v>0</v>
      </c>
      <c r="D262" s="234">
        <f t="shared" si="40"/>
        <v>0</v>
      </c>
      <c r="E262" s="234">
        <f t="shared" si="47"/>
        <v>0</v>
      </c>
      <c r="F262" s="235">
        <f t="shared" si="41"/>
        <v>0</v>
      </c>
      <c r="G262" s="133" t="e">
        <f t="shared" si="42"/>
        <v>#DIV/0!</v>
      </c>
      <c r="H262" s="236"/>
      <c r="I262" s="236"/>
      <c r="J262" s="236"/>
      <c r="K262" s="235">
        <f t="shared" si="43"/>
        <v>0</v>
      </c>
      <c r="L262" s="133" t="e">
        <f t="shared" si="44"/>
        <v>#DIV/0!</v>
      </c>
      <c r="M262" s="234"/>
      <c r="N262" s="234"/>
      <c r="O262" s="234"/>
      <c r="P262" s="235">
        <f t="shared" si="45"/>
        <v>0</v>
      </c>
      <c r="Q262" s="133" t="e">
        <f t="shared" si="46"/>
        <v>#DIV/0!</v>
      </c>
    </row>
    <row r="263" spans="1:17" s="78" customFormat="1" ht="22.5" customHeight="1" hidden="1">
      <c r="A263" s="77" t="s">
        <v>147</v>
      </c>
      <c r="B263" s="81" t="s">
        <v>146</v>
      </c>
      <c r="C263" s="234">
        <f t="shared" si="40"/>
        <v>0</v>
      </c>
      <c r="D263" s="234">
        <f t="shared" si="40"/>
        <v>0</v>
      </c>
      <c r="E263" s="234">
        <f t="shared" si="47"/>
        <v>0</v>
      </c>
      <c r="F263" s="235">
        <f t="shared" si="41"/>
        <v>0</v>
      </c>
      <c r="G263" s="133" t="e">
        <f t="shared" si="42"/>
        <v>#DIV/0!</v>
      </c>
      <c r="H263" s="236"/>
      <c r="I263" s="236"/>
      <c r="J263" s="236"/>
      <c r="K263" s="235">
        <f t="shared" si="43"/>
        <v>0</v>
      </c>
      <c r="L263" s="133" t="e">
        <f t="shared" si="44"/>
        <v>#DIV/0!</v>
      </c>
      <c r="M263" s="234"/>
      <c r="N263" s="234"/>
      <c r="O263" s="234"/>
      <c r="P263" s="235">
        <f t="shared" si="45"/>
        <v>0</v>
      </c>
      <c r="Q263" s="133" t="e">
        <f t="shared" si="46"/>
        <v>#DIV/0!</v>
      </c>
    </row>
    <row r="264" spans="1:17" s="78" customFormat="1" ht="22.5" customHeight="1" hidden="1">
      <c r="A264" s="77" t="s">
        <v>296</v>
      </c>
      <c r="B264" s="81" t="s">
        <v>295</v>
      </c>
      <c r="C264" s="234">
        <f t="shared" si="40"/>
        <v>0</v>
      </c>
      <c r="D264" s="234">
        <f t="shared" si="40"/>
        <v>0</v>
      </c>
      <c r="E264" s="234">
        <f t="shared" si="47"/>
        <v>0</v>
      </c>
      <c r="F264" s="235">
        <f t="shared" si="41"/>
        <v>0</v>
      </c>
      <c r="G264" s="133" t="e">
        <f t="shared" si="42"/>
        <v>#DIV/0!</v>
      </c>
      <c r="H264" s="236"/>
      <c r="I264" s="236"/>
      <c r="J264" s="236"/>
      <c r="K264" s="235">
        <f t="shared" si="43"/>
        <v>0</v>
      </c>
      <c r="L264" s="133" t="e">
        <f t="shared" si="44"/>
        <v>#DIV/0!</v>
      </c>
      <c r="M264" s="234"/>
      <c r="N264" s="234"/>
      <c r="O264" s="234"/>
      <c r="P264" s="235">
        <f t="shared" si="45"/>
        <v>0</v>
      </c>
      <c r="Q264" s="133" t="e">
        <f t="shared" si="46"/>
        <v>#DIV/0!</v>
      </c>
    </row>
    <row r="265" spans="1:17" s="78" customFormat="1" ht="22.5" customHeight="1" hidden="1">
      <c r="A265" s="77" t="s">
        <v>149</v>
      </c>
      <c r="B265" s="81" t="s">
        <v>148</v>
      </c>
      <c r="C265" s="234">
        <f t="shared" si="40"/>
        <v>0</v>
      </c>
      <c r="D265" s="234">
        <f t="shared" si="40"/>
        <v>0</v>
      </c>
      <c r="E265" s="234">
        <f t="shared" si="47"/>
        <v>0</v>
      </c>
      <c r="F265" s="235">
        <f t="shared" si="41"/>
        <v>0</v>
      </c>
      <c r="G265" s="133" t="e">
        <f t="shared" si="42"/>
        <v>#DIV/0!</v>
      </c>
      <c r="H265" s="236"/>
      <c r="I265" s="236"/>
      <c r="J265" s="236"/>
      <c r="K265" s="235">
        <f t="shared" si="43"/>
        <v>0</v>
      </c>
      <c r="L265" s="133" t="e">
        <f t="shared" si="44"/>
        <v>#DIV/0!</v>
      </c>
      <c r="M265" s="234"/>
      <c r="N265" s="234"/>
      <c r="O265" s="234"/>
      <c r="P265" s="235">
        <f t="shared" si="45"/>
        <v>0</v>
      </c>
      <c r="Q265" s="133" t="e">
        <f t="shared" si="46"/>
        <v>#DIV/0!</v>
      </c>
    </row>
    <row r="266" spans="1:17" s="78" customFormat="1" ht="22.5" customHeight="1" hidden="1">
      <c r="A266" s="77" t="s">
        <v>298</v>
      </c>
      <c r="B266" s="81" t="s">
        <v>297</v>
      </c>
      <c r="C266" s="234">
        <f t="shared" si="40"/>
        <v>0</v>
      </c>
      <c r="D266" s="234">
        <f t="shared" si="40"/>
        <v>0</v>
      </c>
      <c r="E266" s="234">
        <f t="shared" si="47"/>
        <v>0</v>
      </c>
      <c r="F266" s="235">
        <f t="shared" si="41"/>
        <v>0</v>
      </c>
      <c r="G266" s="133" t="e">
        <f t="shared" si="42"/>
        <v>#DIV/0!</v>
      </c>
      <c r="H266" s="236"/>
      <c r="I266" s="236"/>
      <c r="J266" s="236"/>
      <c r="K266" s="235">
        <f t="shared" si="43"/>
        <v>0</v>
      </c>
      <c r="L266" s="133" t="e">
        <f t="shared" si="44"/>
        <v>#DIV/0!</v>
      </c>
      <c r="M266" s="234"/>
      <c r="N266" s="234"/>
      <c r="O266" s="234"/>
      <c r="P266" s="235">
        <f t="shared" si="45"/>
        <v>0</v>
      </c>
      <c r="Q266" s="133" t="e">
        <f t="shared" si="46"/>
        <v>#DIV/0!</v>
      </c>
    </row>
    <row r="267" spans="1:17" s="78" customFormat="1" ht="22.5" customHeight="1" hidden="1">
      <c r="A267" s="77" t="s">
        <v>151</v>
      </c>
      <c r="B267" s="81" t="s">
        <v>150</v>
      </c>
      <c r="C267" s="234">
        <f t="shared" si="40"/>
        <v>0</v>
      </c>
      <c r="D267" s="234">
        <f t="shared" si="40"/>
        <v>0</v>
      </c>
      <c r="E267" s="234">
        <f t="shared" si="47"/>
        <v>0</v>
      </c>
      <c r="F267" s="235">
        <f t="shared" si="41"/>
        <v>0</v>
      </c>
      <c r="G267" s="133" t="e">
        <f t="shared" si="42"/>
        <v>#DIV/0!</v>
      </c>
      <c r="H267" s="236"/>
      <c r="I267" s="236"/>
      <c r="J267" s="236"/>
      <c r="K267" s="235">
        <f t="shared" si="43"/>
        <v>0</v>
      </c>
      <c r="L267" s="133" t="e">
        <f t="shared" si="44"/>
        <v>#DIV/0!</v>
      </c>
      <c r="M267" s="234"/>
      <c r="N267" s="234"/>
      <c r="O267" s="234"/>
      <c r="P267" s="235">
        <f t="shared" si="45"/>
        <v>0</v>
      </c>
      <c r="Q267" s="133" t="e">
        <f t="shared" si="46"/>
        <v>#DIV/0!</v>
      </c>
    </row>
    <row r="268" spans="1:17" s="78" customFormat="1" ht="22.5" customHeight="1" hidden="1">
      <c r="A268" s="77" t="s">
        <v>300</v>
      </c>
      <c r="B268" s="81" t="s">
        <v>299</v>
      </c>
      <c r="C268" s="234">
        <f t="shared" si="40"/>
        <v>0</v>
      </c>
      <c r="D268" s="234">
        <f t="shared" si="40"/>
        <v>0</v>
      </c>
      <c r="E268" s="234">
        <f t="shared" si="47"/>
        <v>0</v>
      </c>
      <c r="F268" s="235">
        <f t="shared" si="41"/>
        <v>0</v>
      </c>
      <c r="G268" s="133" t="e">
        <f t="shared" si="42"/>
        <v>#DIV/0!</v>
      </c>
      <c r="H268" s="236"/>
      <c r="I268" s="236"/>
      <c r="J268" s="236"/>
      <c r="K268" s="235">
        <f t="shared" si="43"/>
        <v>0</v>
      </c>
      <c r="L268" s="133" t="e">
        <f t="shared" si="44"/>
        <v>#DIV/0!</v>
      </c>
      <c r="M268" s="234"/>
      <c r="N268" s="234"/>
      <c r="O268" s="234"/>
      <c r="P268" s="235">
        <f t="shared" si="45"/>
        <v>0</v>
      </c>
      <c r="Q268" s="133" t="e">
        <f t="shared" si="46"/>
        <v>#DIV/0!</v>
      </c>
    </row>
    <row r="269" spans="1:17" s="78" customFormat="1" ht="22.5" customHeight="1" hidden="1">
      <c r="A269" s="77" t="s">
        <v>153</v>
      </c>
      <c r="B269" s="81" t="s">
        <v>152</v>
      </c>
      <c r="C269" s="234">
        <f t="shared" si="40"/>
        <v>0</v>
      </c>
      <c r="D269" s="234">
        <f t="shared" si="40"/>
        <v>0</v>
      </c>
      <c r="E269" s="234">
        <f t="shared" si="47"/>
        <v>0</v>
      </c>
      <c r="F269" s="235">
        <f t="shared" si="41"/>
        <v>0</v>
      </c>
      <c r="G269" s="133" t="e">
        <f t="shared" si="42"/>
        <v>#DIV/0!</v>
      </c>
      <c r="H269" s="236"/>
      <c r="I269" s="236"/>
      <c r="J269" s="236"/>
      <c r="K269" s="235">
        <f t="shared" si="43"/>
        <v>0</v>
      </c>
      <c r="L269" s="133" t="e">
        <f t="shared" si="44"/>
        <v>#DIV/0!</v>
      </c>
      <c r="M269" s="234"/>
      <c r="N269" s="234"/>
      <c r="O269" s="234"/>
      <c r="P269" s="235">
        <f t="shared" si="45"/>
        <v>0</v>
      </c>
      <c r="Q269" s="133" t="e">
        <f t="shared" si="46"/>
        <v>#DIV/0!</v>
      </c>
    </row>
    <row r="270" spans="1:17" s="78" customFormat="1" ht="22.5" customHeight="1">
      <c r="A270" s="77" t="s">
        <v>155</v>
      </c>
      <c r="B270" s="81" t="s">
        <v>154</v>
      </c>
      <c r="C270" s="357">
        <f t="shared" si="40"/>
        <v>0</v>
      </c>
      <c r="D270" s="234">
        <f t="shared" si="40"/>
        <v>286.2</v>
      </c>
      <c r="E270" s="234">
        <f t="shared" si="47"/>
        <v>76.2</v>
      </c>
      <c r="F270" s="235">
        <f t="shared" si="41"/>
        <v>-210</v>
      </c>
      <c r="G270" s="133">
        <f t="shared" si="42"/>
        <v>26.624737945492665</v>
      </c>
      <c r="H270" s="236"/>
      <c r="I270" s="236">
        <v>2</v>
      </c>
      <c r="J270" s="236">
        <v>2</v>
      </c>
      <c r="K270" s="351">
        <f t="shared" si="43"/>
        <v>0</v>
      </c>
      <c r="L270" s="133">
        <f t="shared" si="44"/>
        <v>100</v>
      </c>
      <c r="M270" s="234"/>
      <c r="N270" s="234">
        <v>284.2</v>
      </c>
      <c r="O270" s="234">
        <v>74.2</v>
      </c>
      <c r="P270" s="235">
        <f t="shared" si="45"/>
        <v>-210</v>
      </c>
      <c r="Q270" s="133">
        <f t="shared" si="46"/>
        <v>26.108374384236456</v>
      </c>
    </row>
    <row r="271" spans="1:17" s="78" customFormat="1" ht="22.5" customHeight="1">
      <c r="A271" s="77" t="s">
        <v>192</v>
      </c>
      <c r="B271" s="81" t="s">
        <v>156</v>
      </c>
      <c r="C271" s="234">
        <f t="shared" si="40"/>
        <v>38472.2</v>
      </c>
      <c r="D271" s="234">
        <f t="shared" si="40"/>
        <v>38519.2</v>
      </c>
      <c r="E271" s="234">
        <f t="shared" si="47"/>
        <v>38519.2</v>
      </c>
      <c r="F271" s="351">
        <f t="shared" si="41"/>
        <v>0</v>
      </c>
      <c r="G271" s="133">
        <f t="shared" si="42"/>
        <v>100</v>
      </c>
      <c r="H271" s="236">
        <v>32612.2</v>
      </c>
      <c r="I271" s="236">
        <v>32659.2</v>
      </c>
      <c r="J271" s="236">
        <v>32659.2</v>
      </c>
      <c r="K271" s="351">
        <f t="shared" si="43"/>
        <v>0</v>
      </c>
      <c r="L271" s="133">
        <f t="shared" si="44"/>
        <v>100</v>
      </c>
      <c r="M271" s="234">
        <v>5860</v>
      </c>
      <c r="N271" s="234">
        <v>5860</v>
      </c>
      <c r="O271" s="234">
        <v>5860</v>
      </c>
      <c r="P271" s="351">
        <f t="shared" si="45"/>
        <v>0</v>
      </c>
      <c r="Q271" s="133">
        <f t="shared" si="46"/>
        <v>100</v>
      </c>
    </row>
    <row r="272" spans="1:17" s="78" customFormat="1" ht="22.5" customHeight="1" hidden="1">
      <c r="A272" s="77" t="s">
        <v>158</v>
      </c>
      <c r="B272" s="81" t="s">
        <v>157</v>
      </c>
      <c r="C272" s="234">
        <f t="shared" si="40"/>
        <v>0</v>
      </c>
      <c r="D272" s="234">
        <f t="shared" si="40"/>
        <v>0</v>
      </c>
      <c r="E272" s="234">
        <f t="shared" si="47"/>
        <v>0</v>
      </c>
      <c r="F272" s="235">
        <f t="shared" si="41"/>
        <v>0</v>
      </c>
      <c r="G272" s="133" t="e">
        <f t="shared" si="42"/>
        <v>#DIV/0!</v>
      </c>
      <c r="H272" s="236"/>
      <c r="I272" s="236"/>
      <c r="J272" s="236"/>
      <c r="K272" s="235">
        <f t="shared" si="43"/>
        <v>0</v>
      </c>
      <c r="L272" s="133" t="e">
        <f t="shared" si="44"/>
        <v>#DIV/0!</v>
      </c>
      <c r="M272" s="234"/>
      <c r="N272" s="234"/>
      <c r="O272" s="234"/>
      <c r="P272" s="235">
        <f t="shared" si="45"/>
        <v>0</v>
      </c>
      <c r="Q272" s="133" t="e">
        <f t="shared" si="46"/>
        <v>#DIV/0!</v>
      </c>
    </row>
    <row r="273" spans="1:17" s="78" customFormat="1" ht="22.5" customHeight="1">
      <c r="A273" s="77" t="s">
        <v>464</v>
      </c>
      <c r="B273" s="81" t="s">
        <v>463</v>
      </c>
      <c r="C273" s="234">
        <f t="shared" si="40"/>
        <v>135.6</v>
      </c>
      <c r="D273" s="234">
        <f t="shared" si="40"/>
        <v>1321.8</v>
      </c>
      <c r="E273" s="234">
        <f t="shared" si="47"/>
        <v>1321.72</v>
      </c>
      <c r="F273" s="235">
        <f t="shared" si="41"/>
        <v>-0.07999999999992724</v>
      </c>
      <c r="G273" s="133">
        <f t="shared" si="42"/>
        <v>99.99394764714783</v>
      </c>
      <c r="H273" s="236">
        <v>135.6</v>
      </c>
      <c r="I273" s="236">
        <v>1321.8</v>
      </c>
      <c r="J273" s="236">
        <v>1321.72</v>
      </c>
      <c r="K273" s="235">
        <f t="shared" si="43"/>
        <v>-0.07999999999992724</v>
      </c>
      <c r="L273" s="133">
        <f t="shared" si="44"/>
        <v>99.99394764714783</v>
      </c>
      <c r="M273" s="234"/>
      <c r="N273" s="234"/>
      <c r="O273" s="234"/>
      <c r="P273" s="351">
        <f t="shared" si="45"/>
        <v>0</v>
      </c>
      <c r="Q273" s="352" t="e">
        <f t="shared" si="46"/>
        <v>#DIV/0!</v>
      </c>
    </row>
    <row r="274" spans="1:17" s="78" customFormat="1" ht="22.5" customHeight="1">
      <c r="A274" s="77" t="s">
        <v>466</v>
      </c>
      <c r="B274" s="81" t="s">
        <v>465</v>
      </c>
      <c r="C274" s="357">
        <f t="shared" si="40"/>
        <v>0</v>
      </c>
      <c r="D274" s="234">
        <f t="shared" si="40"/>
        <v>15</v>
      </c>
      <c r="E274" s="234">
        <f t="shared" si="47"/>
        <v>15</v>
      </c>
      <c r="F274" s="351">
        <f t="shared" si="41"/>
        <v>0</v>
      </c>
      <c r="G274" s="133">
        <f t="shared" si="42"/>
        <v>100</v>
      </c>
      <c r="H274" s="236"/>
      <c r="I274" s="236"/>
      <c r="J274" s="236"/>
      <c r="K274" s="351">
        <f t="shared" si="43"/>
        <v>0</v>
      </c>
      <c r="L274" s="352" t="e">
        <f t="shared" si="44"/>
        <v>#DIV/0!</v>
      </c>
      <c r="M274" s="234"/>
      <c r="N274" s="234">
        <v>15</v>
      </c>
      <c r="O274" s="234">
        <v>15</v>
      </c>
      <c r="P274" s="351">
        <f t="shared" si="45"/>
        <v>0</v>
      </c>
      <c r="Q274" s="133">
        <f t="shared" si="46"/>
        <v>100</v>
      </c>
    </row>
    <row r="275" spans="1:17" s="76" customFormat="1" ht="22.5" customHeight="1">
      <c r="A275" s="75" t="s">
        <v>160</v>
      </c>
      <c r="B275" s="80" t="s">
        <v>159</v>
      </c>
      <c r="C275" s="233">
        <f>H275+M275</f>
        <v>122915.8</v>
      </c>
      <c r="D275" s="233">
        <f>I275+N275</f>
        <v>173523.067</v>
      </c>
      <c r="E275" s="233">
        <f>J275+O275</f>
        <v>133587.263</v>
      </c>
      <c r="F275" s="232">
        <f t="shared" si="41"/>
        <v>-39935.804000000004</v>
      </c>
      <c r="G275" s="82">
        <f t="shared" si="42"/>
        <v>76.98530536000726</v>
      </c>
      <c r="H275" s="205">
        <v>111863.3</v>
      </c>
      <c r="I275" s="205">
        <v>159564.2</v>
      </c>
      <c r="J275" s="205">
        <v>123316.153</v>
      </c>
      <c r="K275" s="232">
        <f t="shared" si="43"/>
        <v>-36248.047000000006</v>
      </c>
      <c r="L275" s="82">
        <f t="shared" si="44"/>
        <v>77.28309545624896</v>
      </c>
      <c r="M275" s="233">
        <v>11052.5</v>
      </c>
      <c r="N275" s="233">
        <v>13958.867</v>
      </c>
      <c r="O275" s="233">
        <v>10271.11</v>
      </c>
      <c r="P275" s="232">
        <f t="shared" si="45"/>
        <v>-3687.7569999999996</v>
      </c>
      <c r="Q275" s="82">
        <f t="shared" si="46"/>
        <v>73.58125842161833</v>
      </c>
    </row>
    <row r="276" spans="1:17" s="78" customFormat="1" ht="22.5" customHeight="1">
      <c r="A276" s="77"/>
      <c r="B276" s="81" t="s">
        <v>159</v>
      </c>
      <c r="C276" s="234"/>
      <c r="D276" s="234"/>
      <c r="E276" s="236"/>
      <c r="F276" s="232"/>
      <c r="G276" s="82"/>
      <c r="H276" s="236"/>
      <c r="I276" s="236"/>
      <c r="J276" s="236"/>
      <c r="K276" s="232"/>
      <c r="L276" s="82"/>
      <c r="M276" s="234"/>
      <c r="N276" s="234"/>
      <c r="O276" s="234"/>
      <c r="P276" s="232"/>
      <c r="Q276" s="82"/>
    </row>
    <row r="277" spans="1:17" s="76" customFormat="1" ht="22.5" customHeight="1">
      <c r="A277" s="75" t="s">
        <v>6</v>
      </c>
      <c r="B277" s="79"/>
      <c r="C277" s="233">
        <f>C278+C321</f>
        <v>31526467.400000002</v>
      </c>
      <c r="D277" s="233">
        <f>D278+D321</f>
        <v>33796529.09600001</v>
      </c>
      <c r="E277" s="233">
        <f>E278+E321</f>
        <v>32281798.374999993</v>
      </c>
      <c r="F277" s="232">
        <f t="shared" si="41"/>
        <v>-1514730.7210000157</v>
      </c>
      <c r="G277" s="82">
        <f t="shared" si="42"/>
        <v>95.51808791755691</v>
      </c>
      <c r="H277" s="233">
        <f>H278+H321</f>
        <v>25522288.499999993</v>
      </c>
      <c r="I277" s="233">
        <f>I278+I321</f>
        <v>27539908.674999997</v>
      </c>
      <c r="J277" s="233">
        <f>J278+J321</f>
        <v>26352578.463000003</v>
      </c>
      <c r="K277" s="232">
        <f t="shared" si="43"/>
        <v>-1187330.2119999938</v>
      </c>
      <c r="L277" s="82">
        <f t="shared" si="44"/>
        <v>95.6886922683305</v>
      </c>
      <c r="M277" s="233">
        <f>M278+M321</f>
        <v>6004178.9</v>
      </c>
      <c r="N277" s="233">
        <f>N278+N321</f>
        <v>6256620.421</v>
      </c>
      <c r="O277" s="233">
        <f>O278+O321</f>
        <v>5929219.911999999</v>
      </c>
      <c r="P277" s="232">
        <f t="shared" si="45"/>
        <v>-327400.5090000015</v>
      </c>
      <c r="Q277" s="82">
        <f t="shared" si="46"/>
        <v>94.76713485924286</v>
      </c>
    </row>
    <row r="278" spans="1:17" s="76" customFormat="1" ht="22.5" customHeight="1">
      <c r="A278" s="75" t="s">
        <v>130</v>
      </c>
      <c r="B278" s="80"/>
      <c r="C278" s="233">
        <f>C279+C280+C281+C282+C283+C284+C285+C286+C287+C288+C289+C290+C291+C292+C293+C294+C295+C296+C297+C298+C299+C300+C301+C302+C303+C304+C305+C306+C307+C308+C309+C310+C311+C312+C313+C314+C315+C316+C317+C318+C319+C320</f>
        <v>27096101.3</v>
      </c>
      <c r="D278" s="233">
        <f>D279+D280+D281+D282+D283+D284+D285+D286+D287+D288+D289+D290+D291+D292+D293+D294+D295+D296+D297+D298+D299+D300+D301+D302+D303+D304+D305+D306+D307+D308+D309+D310+D311+D312+D313+D314+D315+D316+D317+D318+D319+D320</f>
        <v>27872642.847000007</v>
      </c>
      <c r="E278" s="233">
        <f>E279+E280+E281+E282+E283+E284+E285+E286+E287+E288+E289+E290+E291+E292+E293+E294+E295+E296+E297+E298+E299+E300+E301+E302+E303+E304+E305+E306+E307+E308+E309+E310+E311+E312+E313+E314+E315+E316+E317+E318+E319+E320</f>
        <v>27202505.910999995</v>
      </c>
      <c r="F278" s="232">
        <f t="shared" si="41"/>
        <v>-670136.9360000119</v>
      </c>
      <c r="G278" s="82">
        <f t="shared" si="42"/>
        <v>97.59571799603445</v>
      </c>
      <c r="H278" s="233">
        <f>H279+H280+H281+H282+H283+H284+H285+H286+H287+H288+H289+H290+H291+H292+H293+H294+H295+H296+H297+H298+H299+H300+H301+H302+H303+H304+H305+H306+H307+H308+H309+H310+H311+H312+H313+H314+H315+H316+H317+H318+H319+H320</f>
        <v>21944212.299999993</v>
      </c>
      <c r="I278" s="233">
        <f>I279+I280+I281+I282+I283+I284+I285+I286+I287+I288+I289+I290+I291+I292+I293+I294+I295+I296+I297+I298+I299+I300+I301+I302+I303+I304+I305+I306+I307+I308+I309+I310+I311+I312+I313+I314+I315+I316+I317+I318+I319+I320</f>
        <v>22528478.65</v>
      </c>
      <c r="J278" s="233">
        <f>J279+J280+J281+J282+J283+J284+J285+J286+J287+J288+J289+J290+J291+J292+J293+J294+J295+J296+J297+J298+J299+J300+J301+J302+J303+J304+J305+J306+J307+J308+J309+J310+J311+J312+J313+J314+J315+J316+J317+J318+J319+J320</f>
        <v>22088069.957000002</v>
      </c>
      <c r="K278" s="232">
        <f t="shared" si="43"/>
        <v>-440408.69299999624</v>
      </c>
      <c r="L278" s="82">
        <f t="shared" si="44"/>
        <v>98.04510237978276</v>
      </c>
      <c r="M278" s="233">
        <f>M279+M280+M281+M282+M283+M284+M285+M286+M287+M288+M289+M290+M291+M292+M293+M294+M295+M296+M297+M298+M299+M300+M301+M302+M303+M304+M305+M306+M307+M308+M309+M310+M311+M312+M313+M314+M315+M316+M317+M318+M319+M320</f>
        <v>5151889</v>
      </c>
      <c r="N278" s="233">
        <f>N279+N280+N281+N282+N283+N284+N285+N286+N287+N288+N289+N290+N291+N292+N293+N294+N295+N296+N297+N298+N299+N300+N301+N302+N303+N304+N305+N306+N307+N308+N309+N310+N311+N312+N313+N314+N315+N316+N317+N318+N319+N320</f>
        <v>5344164.197</v>
      </c>
      <c r="O278" s="233">
        <f>O279+O280+O281+O282+O283+O284+O285+O286+O287+O288+O289+O290+O291+O292+O293+O294+O295+O296+O297+O298+O299+O300+O301+O302+O303+O304+O305+O306+O307+O308+O309+O310+O311+O312+O313+O314+O315+O316+O317+O318+O319+O320</f>
        <v>5114435.953999999</v>
      </c>
      <c r="P278" s="232">
        <f t="shared" si="45"/>
        <v>-229728.24300000072</v>
      </c>
      <c r="Q278" s="82">
        <f t="shared" si="46"/>
        <v>95.70132513651131</v>
      </c>
    </row>
    <row r="279" spans="1:17" s="78" customFormat="1" ht="22.5" customHeight="1">
      <c r="A279" s="77" t="s">
        <v>132</v>
      </c>
      <c r="B279" s="81" t="s">
        <v>131</v>
      </c>
      <c r="C279" s="234">
        <f>H279+M279</f>
        <v>18415965.8</v>
      </c>
      <c r="D279" s="234">
        <f>I279+N279</f>
        <v>18976036.763</v>
      </c>
      <c r="E279" s="234">
        <f>J279+O279</f>
        <v>18727900.836</v>
      </c>
      <c r="F279" s="235">
        <f t="shared" si="41"/>
        <v>-248135.92700000107</v>
      </c>
      <c r="G279" s="133">
        <f t="shared" si="42"/>
        <v>98.69237222661887</v>
      </c>
      <c r="H279" s="236">
        <v>16528385.6</v>
      </c>
      <c r="I279" s="236">
        <v>17026673.7</v>
      </c>
      <c r="J279" s="236">
        <v>16782586.889</v>
      </c>
      <c r="K279" s="235">
        <f t="shared" si="43"/>
        <v>-244086.8110000007</v>
      </c>
      <c r="L279" s="133">
        <f t="shared" si="44"/>
        <v>98.56644453696202</v>
      </c>
      <c r="M279" s="234">
        <v>1887580.2</v>
      </c>
      <c r="N279" s="234">
        <v>1949363.063</v>
      </c>
      <c r="O279" s="234">
        <v>1945313.947</v>
      </c>
      <c r="P279" s="235">
        <f t="shared" si="45"/>
        <v>-4049.1160000001546</v>
      </c>
      <c r="Q279" s="133">
        <f t="shared" si="46"/>
        <v>99.79228517884357</v>
      </c>
    </row>
    <row r="280" spans="1:17" s="78" customFormat="1" ht="22.5" customHeight="1">
      <c r="A280" s="77" t="s">
        <v>134</v>
      </c>
      <c r="B280" s="81" t="s">
        <v>133</v>
      </c>
      <c r="C280" s="234">
        <f aca="true" t="shared" si="48" ref="C280:D320">H280+M280</f>
        <v>3150757.0999999996</v>
      </c>
      <c r="D280" s="234">
        <f t="shared" si="48"/>
        <v>3249673.852</v>
      </c>
      <c r="E280" s="234">
        <f>J280+O280</f>
        <v>3188646.682</v>
      </c>
      <c r="F280" s="235">
        <f t="shared" si="41"/>
        <v>-61027.169999999925</v>
      </c>
      <c r="G280" s="133">
        <f t="shared" si="42"/>
        <v>98.12205246497457</v>
      </c>
      <c r="H280" s="236">
        <v>2825906.8</v>
      </c>
      <c r="I280" s="236">
        <v>2917549.9</v>
      </c>
      <c r="J280" s="236">
        <v>2857857.323</v>
      </c>
      <c r="K280" s="235">
        <f t="shared" si="43"/>
        <v>-59692.57700000005</v>
      </c>
      <c r="L280" s="133">
        <f t="shared" si="44"/>
        <v>97.9540169304388</v>
      </c>
      <c r="M280" s="234">
        <v>324850.3</v>
      </c>
      <c r="N280" s="234">
        <v>332123.952</v>
      </c>
      <c r="O280" s="234">
        <v>330789.359</v>
      </c>
      <c r="P280" s="235">
        <f t="shared" si="45"/>
        <v>-1334.5929999999935</v>
      </c>
      <c r="Q280" s="133">
        <f t="shared" si="46"/>
        <v>99.59816418178717</v>
      </c>
    </row>
    <row r="281" spans="1:17" s="78" customFormat="1" ht="22.5" customHeight="1">
      <c r="A281" s="77" t="s">
        <v>136</v>
      </c>
      <c r="B281" s="81" t="s">
        <v>135</v>
      </c>
      <c r="C281" s="234">
        <f t="shared" si="48"/>
        <v>133215.1</v>
      </c>
      <c r="D281" s="234">
        <f t="shared" si="48"/>
        <v>145454.459</v>
      </c>
      <c r="E281" s="234">
        <f>J281+O281</f>
        <v>133734.524</v>
      </c>
      <c r="F281" s="235">
        <f t="shared" si="41"/>
        <v>-11719.934999999998</v>
      </c>
      <c r="G281" s="133">
        <f t="shared" si="42"/>
        <v>91.94253989834715</v>
      </c>
      <c r="H281" s="236">
        <v>71877</v>
      </c>
      <c r="I281" s="236">
        <v>77298.5</v>
      </c>
      <c r="J281" s="236">
        <v>68257.49</v>
      </c>
      <c r="K281" s="235">
        <f t="shared" si="43"/>
        <v>-9041.009999999995</v>
      </c>
      <c r="L281" s="133">
        <f t="shared" si="44"/>
        <v>88.30377044832694</v>
      </c>
      <c r="M281" s="234">
        <v>61338.1</v>
      </c>
      <c r="N281" s="234">
        <v>68155.959</v>
      </c>
      <c r="O281" s="234">
        <v>65477.034</v>
      </c>
      <c r="P281" s="235">
        <f t="shared" si="45"/>
        <v>-2678.925000000003</v>
      </c>
      <c r="Q281" s="133">
        <f t="shared" si="46"/>
        <v>96.06941925650257</v>
      </c>
    </row>
    <row r="282" spans="1:17" s="78" customFormat="1" ht="22.5" customHeight="1">
      <c r="A282" s="77" t="s">
        <v>443</v>
      </c>
      <c r="B282" s="81" t="s">
        <v>137</v>
      </c>
      <c r="C282" s="234">
        <f t="shared" si="48"/>
        <v>24350.800000000003</v>
      </c>
      <c r="D282" s="234">
        <f t="shared" si="48"/>
        <v>23008.89</v>
      </c>
      <c r="E282" s="234">
        <f>J282+O282</f>
        <v>19090.423000000003</v>
      </c>
      <c r="F282" s="235">
        <f t="shared" si="41"/>
        <v>-3918.466999999997</v>
      </c>
      <c r="G282" s="133">
        <f t="shared" si="42"/>
        <v>82.96976951082821</v>
      </c>
      <c r="H282" s="234">
        <v>10925.2</v>
      </c>
      <c r="I282" s="234">
        <v>10731.4</v>
      </c>
      <c r="J282" s="234">
        <v>9387.441</v>
      </c>
      <c r="K282" s="235">
        <f t="shared" si="43"/>
        <v>-1343.958999999999</v>
      </c>
      <c r="L282" s="133">
        <f t="shared" si="44"/>
        <v>87.47638705108375</v>
      </c>
      <c r="M282" s="234">
        <v>13425.6</v>
      </c>
      <c r="N282" s="234">
        <v>12277.49</v>
      </c>
      <c r="O282" s="234">
        <v>9702.982</v>
      </c>
      <c r="P282" s="235">
        <f t="shared" si="45"/>
        <v>-2574.508</v>
      </c>
      <c r="Q282" s="133">
        <f t="shared" si="46"/>
        <v>79.03066506264717</v>
      </c>
    </row>
    <row r="283" spans="1:17" s="78" customFormat="1" ht="22.5" customHeight="1">
      <c r="A283" s="77" t="s">
        <v>9</v>
      </c>
      <c r="B283" s="81" t="s">
        <v>138</v>
      </c>
      <c r="C283" s="234">
        <f t="shared" si="48"/>
        <v>7702.9</v>
      </c>
      <c r="D283" s="234">
        <f t="shared" si="48"/>
        <v>8449.1</v>
      </c>
      <c r="E283" s="234">
        <f aca="true" t="shared" si="49" ref="E283:E320">J283+O283</f>
        <v>8194.7</v>
      </c>
      <c r="F283" s="235">
        <f t="shared" si="41"/>
        <v>-254.39999999999964</v>
      </c>
      <c r="G283" s="133">
        <f t="shared" si="42"/>
        <v>96.98902841722787</v>
      </c>
      <c r="H283" s="236">
        <v>2424.2</v>
      </c>
      <c r="I283" s="236">
        <v>2472</v>
      </c>
      <c r="J283" s="236">
        <v>2426.8</v>
      </c>
      <c r="K283" s="235">
        <f t="shared" si="43"/>
        <v>-45.19999999999982</v>
      </c>
      <c r="L283" s="133">
        <f t="shared" si="44"/>
        <v>98.1715210355987</v>
      </c>
      <c r="M283" s="234">
        <v>5278.7</v>
      </c>
      <c r="N283" s="234">
        <v>5977.1</v>
      </c>
      <c r="O283" s="234">
        <v>5767.9</v>
      </c>
      <c r="P283" s="235">
        <f t="shared" si="45"/>
        <v>-209.20000000000073</v>
      </c>
      <c r="Q283" s="133">
        <f t="shared" si="46"/>
        <v>96.49997490421775</v>
      </c>
    </row>
    <row r="284" spans="1:17" s="78" customFormat="1" ht="22.5" customHeight="1">
      <c r="A284" s="77" t="s">
        <v>140</v>
      </c>
      <c r="B284" s="81" t="s">
        <v>139</v>
      </c>
      <c r="C284" s="234">
        <f t="shared" si="48"/>
        <v>21501.9</v>
      </c>
      <c r="D284" s="234">
        <f t="shared" si="48"/>
        <v>21718.457</v>
      </c>
      <c r="E284" s="234">
        <f t="shared" si="49"/>
        <v>17210.359</v>
      </c>
      <c r="F284" s="235">
        <f t="shared" si="41"/>
        <v>-4508.097999999998</v>
      </c>
      <c r="G284" s="133">
        <f t="shared" si="42"/>
        <v>79.24300975893453</v>
      </c>
      <c r="H284" s="236">
        <v>12551.4</v>
      </c>
      <c r="I284" s="236">
        <v>12958.71</v>
      </c>
      <c r="J284" s="236">
        <v>9744.374</v>
      </c>
      <c r="K284" s="235">
        <f t="shared" si="43"/>
        <v>-3214.3359999999993</v>
      </c>
      <c r="L284" s="133">
        <f t="shared" si="44"/>
        <v>75.19555573047009</v>
      </c>
      <c r="M284" s="234">
        <v>8950.5</v>
      </c>
      <c r="N284" s="234">
        <v>8759.747</v>
      </c>
      <c r="O284" s="234">
        <v>7465.985</v>
      </c>
      <c r="P284" s="235">
        <f t="shared" si="45"/>
        <v>-1293.7619999999997</v>
      </c>
      <c r="Q284" s="133">
        <f t="shared" si="46"/>
        <v>85.23060083812923</v>
      </c>
    </row>
    <row r="285" spans="1:17" s="78" customFormat="1" ht="22.5" customHeight="1">
      <c r="A285" s="77" t="s">
        <v>444</v>
      </c>
      <c r="B285" s="81" t="s">
        <v>141</v>
      </c>
      <c r="C285" s="234">
        <f t="shared" si="48"/>
        <v>493031.2</v>
      </c>
      <c r="D285" s="234">
        <f t="shared" si="48"/>
        <v>464538.875</v>
      </c>
      <c r="E285" s="234">
        <f t="shared" si="49"/>
        <v>425069.706</v>
      </c>
      <c r="F285" s="235">
        <f t="shared" si="41"/>
        <v>-39469.168999999994</v>
      </c>
      <c r="G285" s="133">
        <f t="shared" si="42"/>
        <v>91.50358105120911</v>
      </c>
      <c r="H285" s="234">
        <v>307810.4</v>
      </c>
      <c r="I285" s="234">
        <v>257944.54</v>
      </c>
      <c r="J285" s="240">
        <v>236620.991</v>
      </c>
      <c r="K285" s="235">
        <f t="shared" si="43"/>
        <v>-21323.549</v>
      </c>
      <c r="L285" s="133">
        <f t="shared" si="44"/>
        <v>91.73328150307039</v>
      </c>
      <c r="M285" s="234">
        <v>185220.8</v>
      </c>
      <c r="N285" s="234">
        <v>206594.335</v>
      </c>
      <c r="O285" s="234">
        <v>188448.715</v>
      </c>
      <c r="P285" s="235">
        <f t="shared" si="45"/>
        <v>-18145.619999999995</v>
      </c>
      <c r="Q285" s="133">
        <f t="shared" si="46"/>
        <v>91.21678723668778</v>
      </c>
    </row>
    <row r="286" spans="1:17" s="78" customFormat="1" ht="22.5" customHeight="1" hidden="1">
      <c r="A286" s="77" t="s">
        <v>290</v>
      </c>
      <c r="B286" s="81" t="s">
        <v>285</v>
      </c>
      <c r="C286" s="234">
        <f t="shared" si="48"/>
        <v>0</v>
      </c>
      <c r="D286" s="234">
        <f t="shared" si="48"/>
        <v>0</v>
      </c>
      <c r="E286" s="234">
        <f t="shared" si="49"/>
        <v>0</v>
      </c>
      <c r="F286" s="235">
        <f t="shared" si="41"/>
        <v>0</v>
      </c>
      <c r="G286" s="133" t="e">
        <f t="shared" si="42"/>
        <v>#DIV/0!</v>
      </c>
      <c r="H286" s="236"/>
      <c r="I286" s="236"/>
      <c r="J286" s="236"/>
      <c r="K286" s="235">
        <f t="shared" si="43"/>
        <v>0</v>
      </c>
      <c r="L286" s="133" t="e">
        <f t="shared" si="44"/>
        <v>#DIV/0!</v>
      </c>
      <c r="M286" s="234"/>
      <c r="N286" s="234"/>
      <c r="O286" s="234"/>
      <c r="P286" s="235">
        <f t="shared" si="45"/>
        <v>0</v>
      </c>
      <c r="Q286" s="133" t="e">
        <f t="shared" si="46"/>
        <v>#DIV/0!</v>
      </c>
    </row>
    <row r="287" spans="1:17" s="78" customFormat="1" ht="22.5" customHeight="1">
      <c r="A287" s="77" t="s">
        <v>519</v>
      </c>
      <c r="B287" s="81" t="s">
        <v>286</v>
      </c>
      <c r="C287" s="234">
        <f t="shared" si="48"/>
        <v>7319.4</v>
      </c>
      <c r="D287" s="234">
        <f t="shared" si="48"/>
        <v>6777.6</v>
      </c>
      <c r="E287" s="234">
        <f t="shared" si="49"/>
        <v>6195.073</v>
      </c>
      <c r="F287" s="235">
        <f t="shared" si="41"/>
        <v>-582.527</v>
      </c>
      <c r="G287" s="133">
        <f t="shared" si="42"/>
        <v>91.40511390462702</v>
      </c>
      <c r="H287" s="236">
        <v>4007.1</v>
      </c>
      <c r="I287" s="236">
        <v>3691.3</v>
      </c>
      <c r="J287" s="236">
        <v>3494.965</v>
      </c>
      <c r="K287" s="235">
        <f t="shared" si="43"/>
        <v>-196.33500000000004</v>
      </c>
      <c r="L287" s="133">
        <f t="shared" si="44"/>
        <v>94.68114214504375</v>
      </c>
      <c r="M287" s="234">
        <v>3312.3</v>
      </c>
      <c r="N287" s="234">
        <v>3086.3</v>
      </c>
      <c r="O287" s="234">
        <v>2700.108</v>
      </c>
      <c r="P287" s="235">
        <f t="shared" si="45"/>
        <v>-386.192</v>
      </c>
      <c r="Q287" s="133">
        <f t="shared" si="46"/>
        <v>87.48689369147523</v>
      </c>
    </row>
    <row r="288" spans="1:17" s="78" customFormat="1" ht="22.5" customHeight="1">
      <c r="A288" s="77" t="s">
        <v>169</v>
      </c>
      <c r="B288" s="81" t="s">
        <v>287</v>
      </c>
      <c r="C288" s="234">
        <f t="shared" si="48"/>
        <v>1574184</v>
      </c>
      <c r="D288" s="234">
        <f t="shared" si="48"/>
        <v>1632485.7650000001</v>
      </c>
      <c r="E288" s="234">
        <f t="shared" si="49"/>
        <v>1555369.9610000001</v>
      </c>
      <c r="F288" s="235">
        <f t="shared" si="41"/>
        <v>-77115.804</v>
      </c>
      <c r="G288" s="133">
        <f t="shared" si="42"/>
        <v>95.27617295946223</v>
      </c>
      <c r="H288" s="236">
        <v>815879.5</v>
      </c>
      <c r="I288" s="236">
        <v>865953.9</v>
      </c>
      <c r="J288" s="236">
        <v>828171.357</v>
      </c>
      <c r="K288" s="235">
        <f t="shared" si="43"/>
        <v>-37782.54300000006</v>
      </c>
      <c r="L288" s="133">
        <f t="shared" si="44"/>
        <v>95.63688748327132</v>
      </c>
      <c r="M288" s="234">
        <v>758304.5</v>
      </c>
      <c r="N288" s="234">
        <v>766531.865</v>
      </c>
      <c r="O288" s="234">
        <v>727198.604</v>
      </c>
      <c r="P288" s="235">
        <f t="shared" si="45"/>
        <v>-39333.26099999994</v>
      </c>
      <c r="Q288" s="133">
        <f t="shared" si="46"/>
        <v>94.86867241976954</v>
      </c>
    </row>
    <row r="289" spans="1:17" s="78" customFormat="1" ht="22.5" customHeight="1">
      <c r="A289" s="77" t="s">
        <v>574</v>
      </c>
      <c r="B289" s="81" t="s">
        <v>575</v>
      </c>
      <c r="C289" s="234">
        <f>H289+M289</f>
        <v>726154.7</v>
      </c>
      <c r="D289" s="234">
        <f>I289+N289</f>
        <v>728890.1</v>
      </c>
      <c r="E289" s="234">
        <f>J289+O289</f>
        <v>703106.413</v>
      </c>
      <c r="F289" s="235">
        <f>E289-D289</f>
        <v>-25783.687000000034</v>
      </c>
      <c r="G289" s="133">
        <f>E289/D289*100</f>
        <v>96.46260979535872</v>
      </c>
      <c r="H289" s="236">
        <v>726154.7</v>
      </c>
      <c r="I289" s="236">
        <v>728890.1</v>
      </c>
      <c r="J289" s="236">
        <v>703106.413</v>
      </c>
      <c r="K289" s="235">
        <f>J289-I289</f>
        <v>-25783.687000000034</v>
      </c>
      <c r="L289" s="133">
        <f>J289/I289*100</f>
        <v>96.46260979535872</v>
      </c>
      <c r="M289" s="234"/>
      <c r="N289" s="234"/>
      <c r="O289" s="234"/>
      <c r="P289" s="351">
        <f>O289-N289</f>
        <v>0</v>
      </c>
      <c r="Q289" s="352" t="e">
        <f>O289/N289*100</f>
        <v>#DIV/0!</v>
      </c>
    </row>
    <row r="290" spans="1:17" s="78" customFormat="1" ht="22.5" customHeight="1">
      <c r="A290" s="77" t="s">
        <v>446</v>
      </c>
      <c r="B290" s="81" t="s">
        <v>445</v>
      </c>
      <c r="C290" s="234">
        <f t="shared" si="48"/>
        <v>312037.9</v>
      </c>
      <c r="D290" s="234">
        <f t="shared" si="48"/>
        <v>339500.854</v>
      </c>
      <c r="E290" s="234">
        <f t="shared" si="49"/>
        <v>309428.917</v>
      </c>
      <c r="F290" s="235">
        <f t="shared" si="41"/>
        <v>-30071.936999999976</v>
      </c>
      <c r="G290" s="133">
        <f t="shared" si="42"/>
        <v>91.14230887914056</v>
      </c>
      <c r="H290" s="236">
        <v>122422.3</v>
      </c>
      <c r="I290" s="236">
        <v>99711.3</v>
      </c>
      <c r="J290" s="236">
        <v>96040.962</v>
      </c>
      <c r="K290" s="235">
        <f t="shared" si="43"/>
        <v>-3670.3380000000034</v>
      </c>
      <c r="L290" s="133">
        <f t="shared" si="44"/>
        <v>96.31903505420148</v>
      </c>
      <c r="M290" s="234">
        <v>189615.6</v>
      </c>
      <c r="N290" s="234">
        <v>239789.554</v>
      </c>
      <c r="O290" s="234">
        <v>213387.955</v>
      </c>
      <c r="P290" s="235">
        <f t="shared" si="45"/>
        <v>-26401.599000000017</v>
      </c>
      <c r="Q290" s="133">
        <f t="shared" si="46"/>
        <v>88.98967925850513</v>
      </c>
    </row>
    <row r="291" spans="1:17" s="78" customFormat="1" ht="22.5" customHeight="1">
      <c r="A291" s="77" t="s">
        <v>448</v>
      </c>
      <c r="B291" s="81" t="s">
        <v>447</v>
      </c>
      <c r="C291" s="234">
        <f t="shared" si="48"/>
        <v>256563.6</v>
      </c>
      <c r="D291" s="234">
        <f t="shared" si="48"/>
        <v>246119.315</v>
      </c>
      <c r="E291" s="234">
        <f t="shared" si="49"/>
        <v>214454.479</v>
      </c>
      <c r="F291" s="235">
        <f t="shared" si="41"/>
        <v>-31664.83600000001</v>
      </c>
      <c r="G291" s="133">
        <f t="shared" si="42"/>
        <v>87.1343555462114</v>
      </c>
      <c r="H291" s="236">
        <v>120466.9</v>
      </c>
      <c r="I291" s="236">
        <v>89728.4</v>
      </c>
      <c r="J291" s="236">
        <v>80966.204</v>
      </c>
      <c r="K291" s="235">
        <f t="shared" si="43"/>
        <v>-8762.195999999996</v>
      </c>
      <c r="L291" s="133">
        <f t="shared" si="44"/>
        <v>90.23475733435569</v>
      </c>
      <c r="M291" s="234">
        <v>136096.7</v>
      </c>
      <c r="N291" s="234">
        <v>156390.915</v>
      </c>
      <c r="O291" s="234">
        <v>133488.275</v>
      </c>
      <c r="P291" s="235">
        <f t="shared" si="45"/>
        <v>-22902.640000000014</v>
      </c>
      <c r="Q291" s="133">
        <f t="shared" si="46"/>
        <v>85.35551761430642</v>
      </c>
    </row>
    <row r="292" spans="1:17" s="78" customFormat="1" ht="22.5" customHeight="1">
      <c r="A292" s="77" t="s">
        <v>170</v>
      </c>
      <c r="B292" s="81" t="s">
        <v>449</v>
      </c>
      <c r="C292" s="234">
        <f t="shared" si="48"/>
        <v>13570.099999999999</v>
      </c>
      <c r="D292" s="234">
        <f t="shared" si="48"/>
        <v>11894.5</v>
      </c>
      <c r="E292" s="234">
        <f t="shared" si="49"/>
        <v>11334.562</v>
      </c>
      <c r="F292" s="235">
        <f t="shared" si="41"/>
        <v>-559.9380000000001</v>
      </c>
      <c r="G292" s="133">
        <f t="shared" si="42"/>
        <v>95.2924629030224</v>
      </c>
      <c r="H292" s="236">
        <v>7794.4</v>
      </c>
      <c r="I292" s="236">
        <v>6717.1</v>
      </c>
      <c r="J292" s="236">
        <v>6646.293</v>
      </c>
      <c r="K292" s="235">
        <f t="shared" si="43"/>
        <v>-70.8070000000007</v>
      </c>
      <c r="L292" s="133">
        <f t="shared" si="44"/>
        <v>98.94586949725327</v>
      </c>
      <c r="M292" s="234">
        <v>5775.7</v>
      </c>
      <c r="N292" s="234">
        <v>5177.4</v>
      </c>
      <c r="O292" s="234">
        <v>4688.269</v>
      </c>
      <c r="P292" s="235">
        <f t="shared" si="45"/>
        <v>-489.1309999999994</v>
      </c>
      <c r="Q292" s="133">
        <f t="shared" si="46"/>
        <v>90.55257465136943</v>
      </c>
    </row>
    <row r="293" spans="1:17" s="78" customFormat="1" ht="22.5" customHeight="1">
      <c r="A293" s="77" t="s">
        <v>451</v>
      </c>
      <c r="B293" s="81" t="s">
        <v>450</v>
      </c>
      <c r="C293" s="234">
        <f t="shared" si="48"/>
        <v>324981</v>
      </c>
      <c r="D293" s="234">
        <f t="shared" si="48"/>
        <v>336087.523</v>
      </c>
      <c r="E293" s="234">
        <f t="shared" si="49"/>
        <v>314133.527</v>
      </c>
      <c r="F293" s="235">
        <f t="shared" si="41"/>
        <v>-21953.995999999985</v>
      </c>
      <c r="G293" s="133">
        <f t="shared" si="42"/>
        <v>93.46777416667148</v>
      </c>
      <c r="H293" s="236">
        <v>27919.6</v>
      </c>
      <c r="I293" s="236">
        <v>30312.6</v>
      </c>
      <c r="J293" s="236">
        <v>28361.569</v>
      </c>
      <c r="K293" s="235">
        <f t="shared" si="43"/>
        <v>-1951.030999999999</v>
      </c>
      <c r="L293" s="133">
        <f t="shared" si="44"/>
        <v>93.56363030554951</v>
      </c>
      <c r="M293" s="234">
        <v>297061.4</v>
      </c>
      <c r="N293" s="234">
        <v>305774.923</v>
      </c>
      <c r="O293" s="234">
        <v>285771.958</v>
      </c>
      <c r="P293" s="235">
        <f t="shared" si="45"/>
        <v>-20002.965000000026</v>
      </c>
      <c r="Q293" s="133">
        <f t="shared" si="46"/>
        <v>93.45827159279506</v>
      </c>
    </row>
    <row r="294" spans="1:17" s="78" customFormat="1" ht="22.5" customHeight="1">
      <c r="A294" s="77" t="s">
        <v>453</v>
      </c>
      <c r="B294" s="81" t="s">
        <v>452</v>
      </c>
      <c r="C294" s="234">
        <f t="shared" si="48"/>
        <v>5994.1</v>
      </c>
      <c r="D294" s="234">
        <f t="shared" si="48"/>
        <v>5852.299999999999</v>
      </c>
      <c r="E294" s="234">
        <f t="shared" si="49"/>
        <v>5588.8279999999995</v>
      </c>
      <c r="F294" s="235">
        <f t="shared" si="41"/>
        <v>-263.47199999999975</v>
      </c>
      <c r="G294" s="133">
        <f t="shared" si="42"/>
        <v>95.49797515506724</v>
      </c>
      <c r="H294" s="236">
        <v>2682</v>
      </c>
      <c r="I294" s="236">
        <v>2540.2</v>
      </c>
      <c r="J294" s="236">
        <v>2450.069</v>
      </c>
      <c r="K294" s="235">
        <f t="shared" si="43"/>
        <v>-90.13099999999986</v>
      </c>
      <c r="L294" s="133">
        <f t="shared" si="44"/>
        <v>96.45181481773089</v>
      </c>
      <c r="M294" s="234">
        <v>3312.1</v>
      </c>
      <c r="N294" s="234">
        <v>3312.1</v>
      </c>
      <c r="O294" s="234">
        <v>3138.759</v>
      </c>
      <c r="P294" s="235">
        <f t="shared" si="45"/>
        <v>-173.3409999999999</v>
      </c>
      <c r="Q294" s="133">
        <f t="shared" si="46"/>
        <v>94.76643217294163</v>
      </c>
    </row>
    <row r="295" spans="1:17" s="78" customFormat="1" ht="22.5" customHeight="1" hidden="1">
      <c r="A295" s="77" t="s">
        <v>455</v>
      </c>
      <c r="B295" s="81" t="s">
        <v>454</v>
      </c>
      <c r="C295" s="234">
        <f t="shared" si="48"/>
        <v>0</v>
      </c>
      <c r="D295" s="234">
        <f t="shared" si="48"/>
        <v>0</v>
      </c>
      <c r="E295" s="234">
        <f t="shared" si="49"/>
        <v>0</v>
      </c>
      <c r="F295" s="235">
        <f t="shared" si="41"/>
        <v>0</v>
      </c>
      <c r="G295" s="133" t="e">
        <f t="shared" si="42"/>
        <v>#DIV/0!</v>
      </c>
      <c r="H295" s="236"/>
      <c r="I295" s="236"/>
      <c r="J295" s="236"/>
      <c r="K295" s="235">
        <f t="shared" si="43"/>
        <v>0</v>
      </c>
      <c r="L295" s="133" t="e">
        <f t="shared" si="44"/>
        <v>#DIV/0!</v>
      </c>
      <c r="M295" s="234"/>
      <c r="N295" s="234"/>
      <c r="O295" s="234"/>
      <c r="P295" s="235">
        <f t="shared" si="45"/>
        <v>0</v>
      </c>
      <c r="Q295" s="133" t="e">
        <f t="shared" si="46"/>
        <v>#DIV/0!</v>
      </c>
    </row>
    <row r="296" spans="1:17" s="78" customFormat="1" ht="22.5" customHeight="1">
      <c r="A296" s="77" t="s">
        <v>543</v>
      </c>
      <c r="B296" s="81" t="s">
        <v>456</v>
      </c>
      <c r="C296" s="234">
        <f t="shared" si="48"/>
        <v>1483337.5</v>
      </c>
      <c r="D296" s="234">
        <f t="shared" si="48"/>
        <v>1515195.1439999999</v>
      </c>
      <c r="E296" s="234">
        <f t="shared" si="49"/>
        <v>1415530.176</v>
      </c>
      <c r="F296" s="235">
        <f t="shared" si="41"/>
        <v>-99664.96799999988</v>
      </c>
      <c r="G296" s="133">
        <f t="shared" si="42"/>
        <v>93.42230151709093</v>
      </c>
      <c r="H296" s="236">
        <v>225883.9</v>
      </c>
      <c r="I296" s="236">
        <v>253819.4</v>
      </c>
      <c r="J296" s="236">
        <v>243181.997</v>
      </c>
      <c r="K296" s="235">
        <f t="shared" si="43"/>
        <v>-10637.402999999991</v>
      </c>
      <c r="L296" s="133">
        <f t="shared" si="44"/>
        <v>95.80906621006905</v>
      </c>
      <c r="M296" s="234">
        <v>1257453.6</v>
      </c>
      <c r="N296" s="234">
        <v>1261375.744</v>
      </c>
      <c r="O296" s="234">
        <v>1172348.179</v>
      </c>
      <c r="P296" s="235">
        <f t="shared" si="45"/>
        <v>-89027.56499999994</v>
      </c>
      <c r="Q296" s="133">
        <f t="shared" si="46"/>
        <v>92.94202655921691</v>
      </c>
    </row>
    <row r="297" spans="1:17" s="78" customFormat="1" ht="22.5" customHeight="1" hidden="1">
      <c r="A297" s="77" t="s">
        <v>167</v>
      </c>
      <c r="B297" s="81" t="s">
        <v>457</v>
      </c>
      <c r="C297" s="234">
        <f t="shared" si="48"/>
        <v>0</v>
      </c>
      <c r="D297" s="234">
        <f t="shared" si="48"/>
        <v>0</v>
      </c>
      <c r="E297" s="234">
        <f t="shared" si="49"/>
        <v>0</v>
      </c>
      <c r="F297" s="235">
        <f t="shared" si="41"/>
        <v>0</v>
      </c>
      <c r="G297" s="133" t="e">
        <f t="shared" si="42"/>
        <v>#DIV/0!</v>
      </c>
      <c r="H297" s="236"/>
      <c r="I297" s="236"/>
      <c r="J297" s="236"/>
      <c r="K297" s="235">
        <f t="shared" si="43"/>
        <v>0</v>
      </c>
      <c r="L297" s="133" t="e">
        <f t="shared" si="44"/>
        <v>#DIV/0!</v>
      </c>
      <c r="M297" s="234"/>
      <c r="N297" s="234"/>
      <c r="O297" s="234"/>
      <c r="P297" s="235">
        <f t="shared" si="45"/>
        <v>0</v>
      </c>
      <c r="Q297" s="133" t="e">
        <f t="shared" si="46"/>
        <v>#DIV/0!</v>
      </c>
    </row>
    <row r="298" spans="1:17" s="78" customFormat="1" ht="22.5" customHeight="1" hidden="1">
      <c r="A298" s="77" t="s">
        <v>168</v>
      </c>
      <c r="B298" s="81" t="s">
        <v>458</v>
      </c>
      <c r="C298" s="234">
        <f t="shared" si="48"/>
        <v>0</v>
      </c>
      <c r="D298" s="234">
        <f t="shared" si="48"/>
        <v>0</v>
      </c>
      <c r="E298" s="234">
        <f t="shared" si="49"/>
        <v>0</v>
      </c>
      <c r="F298" s="235">
        <f t="shared" si="41"/>
        <v>0</v>
      </c>
      <c r="G298" s="133" t="e">
        <f t="shared" si="42"/>
        <v>#DIV/0!</v>
      </c>
      <c r="H298" s="236"/>
      <c r="I298" s="236"/>
      <c r="J298" s="236"/>
      <c r="K298" s="235">
        <f t="shared" si="43"/>
        <v>0</v>
      </c>
      <c r="L298" s="133" t="e">
        <f t="shared" si="44"/>
        <v>#DIV/0!</v>
      </c>
      <c r="M298" s="234"/>
      <c r="N298" s="234"/>
      <c r="O298" s="234"/>
      <c r="P298" s="235">
        <f t="shared" si="45"/>
        <v>0</v>
      </c>
      <c r="Q298" s="133" t="e">
        <f t="shared" si="46"/>
        <v>#DIV/0!</v>
      </c>
    </row>
    <row r="299" spans="1:17" s="78" customFormat="1" ht="22.5" customHeight="1" hidden="1">
      <c r="A299" s="77" t="s">
        <v>24</v>
      </c>
      <c r="B299" s="81" t="s">
        <v>459</v>
      </c>
      <c r="C299" s="234">
        <f t="shared" si="48"/>
        <v>0</v>
      </c>
      <c r="D299" s="234">
        <f t="shared" si="48"/>
        <v>0</v>
      </c>
      <c r="E299" s="234">
        <f t="shared" si="49"/>
        <v>0</v>
      </c>
      <c r="F299" s="235">
        <f t="shared" si="41"/>
        <v>0</v>
      </c>
      <c r="G299" s="133" t="e">
        <f t="shared" si="42"/>
        <v>#DIV/0!</v>
      </c>
      <c r="H299" s="236"/>
      <c r="I299" s="236"/>
      <c r="J299" s="236"/>
      <c r="K299" s="235">
        <f t="shared" si="43"/>
        <v>0</v>
      </c>
      <c r="L299" s="133" t="e">
        <f t="shared" si="44"/>
        <v>#DIV/0!</v>
      </c>
      <c r="M299" s="234"/>
      <c r="N299" s="234"/>
      <c r="O299" s="234"/>
      <c r="P299" s="235">
        <f t="shared" si="45"/>
        <v>0</v>
      </c>
      <c r="Q299" s="133" t="e">
        <f t="shared" si="46"/>
        <v>#DIV/0!</v>
      </c>
    </row>
    <row r="300" spans="1:17" s="78" customFormat="1" ht="22.5" customHeight="1">
      <c r="A300" s="77" t="s">
        <v>461</v>
      </c>
      <c r="B300" s="81" t="s">
        <v>460</v>
      </c>
      <c r="C300" s="234">
        <f t="shared" si="48"/>
        <v>9.8</v>
      </c>
      <c r="D300" s="234">
        <f t="shared" si="48"/>
        <v>9.8</v>
      </c>
      <c r="E300" s="234">
        <f t="shared" si="49"/>
        <v>9.8</v>
      </c>
      <c r="F300" s="351">
        <f t="shared" si="41"/>
        <v>0</v>
      </c>
      <c r="G300" s="133">
        <f t="shared" si="42"/>
        <v>100</v>
      </c>
      <c r="H300" s="236">
        <v>9.8</v>
      </c>
      <c r="I300" s="236">
        <v>9.8</v>
      </c>
      <c r="J300" s="236">
        <v>9.8</v>
      </c>
      <c r="K300" s="351">
        <f t="shared" si="43"/>
        <v>0</v>
      </c>
      <c r="L300" s="133">
        <f t="shared" si="44"/>
        <v>100</v>
      </c>
      <c r="M300" s="234"/>
      <c r="N300" s="234"/>
      <c r="O300" s="234"/>
      <c r="P300" s="351">
        <f t="shared" si="45"/>
        <v>0</v>
      </c>
      <c r="Q300" s="352" t="e">
        <f t="shared" si="46"/>
        <v>#DIV/0!</v>
      </c>
    </row>
    <row r="301" spans="1:17" s="78" customFormat="1" ht="22.5" customHeight="1" hidden="1">
      <c r="A301" s="77" t="s">
        <v>143</v>
      </c>
      <c r="B301" s="81" t="s">
        <v>142</v>
      </c>
      <c r="C301" s="234">
        <f t="shared" si="48"/>
        <v>0</v>
      </c>
      <c r="D301" s="234">
        <f t="shared" si="48"/>
        <v>0</v>
      </c>
      <c r="E301" s="234">
        <f t="shared" si="49"/>
        <v>0</v>
      </c>
      <c r="F301" s="235">
        <f t="shared" si="41"/>
        <v>0</v>
      </c>
      <c r="G301" s="133" t="e">
        <f t="shared" si="42"/>
        <v>#DIV/0!</v>
      </c>
      <c r="H301" s="236"/>
      <c r="I301" s="236"/>
      <c r="J301" s="236"/>
      <c r="K301" s="351">
        <f t="shared" si="43"/>
        <v>0</v>
      </c>
      <c r="L301" s="133" t="e">
        <f t="shared" si="44"/>
        <v>#DIV/0!</v>
      </c>
      <c r="M301" s="234"/>
      <c r="N301" s="234"/>
      <c r="O301" s="234"/>
      <c r="P301" s="351">
        <f t="shared" si="45"/>
        <v>0</v>
      </c>
      <c r="Q301" s="352" t="e">
        <f t="shared" si="46"/>
        <v>#DIV/0!</v>
      </c>
    </row>
    <row r="302" spans="1:17" s="78" customFormat="1" ht="22.5" customHeight="1" hidden="1">
      <c r="A302" s="77" t="s">
        <v>145</v>
      </c>
      <c r="B302" s="81" t="s">
        <v>144</v>
      </c>
      <c r="C302" s="234">
        <f t="shared" si="48"/>
        <v>0</v>
      </c>
      <c r="D302" s="234">
        <f t="shared" si="48"/>
        <v>0</v>
      </c>
      <c r="E302" s="234">
        <f t="shared" si="49"/>
        <v>0</v>
      </c>
      <c r="F302" s="235">
        <f aca="true" t="shared" si="50" ref="F302:F365">E302-D302</f>
        <v>0</v>
      </c>
      <c r="G302" s="133" t="e">
        <f aca="true" t="shared" si="51" ref="G302:G365">E302/D302*100</f>
        <v>#DIV/0!</v>
      </c>
      <c r="H302" s="236"/>
      <c r="I302" s="236"/>
      <c r="J302" s="236"/>
      <c r="K302" s="351">
        <f aca="true" t="shared" si="52" ref="K302:K365">J302-I302</f>
        <v>0</v>
      </c>
      <c r="L302" s="133" t="e">
        <f aca="true" t="shared" si="53" ref="L302:L365">J302/I302*100</f>
        <v>#DIV/0!</v>
      </c>
      <c r="M302" s="234"/>
      <c r="N302" s="234"/>
      <c r="O302" s="234"/>
      <c r="P302" s="351">
        <f aca="true" t="shared" si="54" ref="P302:P365">O302-N302</f>
        <v>0</v>
      </c>
      <c r="Q302" s="352" t="e">
        <f aca="true" t="shared" si="55" ref="Q302:Q365">O302/N302*100</f>
        <v>#DIV/0!</v>
      </c>
    </row>
    <row r="303" spans="1:17" s="78" customFormat="1" ht="22.5" customHeight="1" hidden="1">
      <c r="A303" s="77" t="s">
        <v>289</v>
      </c>
      <c r="B303" s="81" t="s">
        <v>288</v>
      </c>
      <c r="C303" s="234">
        <f t="shared" si="48"/>
        <v>0</v>
      </c>
      <c r="D303" s="234">
        <f t="shared" si="48"/>
        <v>0</v>
      </c>
      <c r="E303" s="234">
        <f t="shared" si="49"/>
        <v>0</v>
      </c>
      <c r="F303" s="235">
        <f t="shared" si="50"/>
        <v>0</v>
      </c>
      <c r="G303" s="133" t="e">
        <f t="shared" si="51"/>
        <v>#DIV/0!</v>
      </c>
      <c r="H303" s="236"/>
      <c r="I303" s="236"/>
      <c r="J303" s="236"/>
      <c r="K303" s="351">
        <f t="shared" si="52"/>
        <v>0</v>
      </c>
      <c r="L303" s="133" t="e">
        <f t="shared" si="53"/>
        <v>#DIV/0!</v>
      </c>
      <c r="M303" s="234"/>
      <c r="N303" s="234"/>
      <c r="O303" s="234"/>
      <c r="P303" s="351">
        <f t="shared" si="54"/>
        <v>0</v>
      </c>
      <c r="Q303" s="352" t="e">
        <f t="shared" si="55"/>
        <v>#DIV/0!</v>
      </c>
    </row>
    <row r="304" spans="1:17" s="78" customFormat="1" ht="22.5" customHeight="1" hidden="1">
      <c r="A304" s="77" t="s">
        <v>292</v>
      </c>
      <c r="B304" s="81" t="s">
        <v>291</v>
      </c>
      <c r="C304" s="234">
        <f t="shared" si="48"/>
        <v>0</v>
      </c>
      <c r="D304" s="234">
        <f t="shared" si="48"/>
        <v>0</v>
      </c>
      <c r="E304" s="234">
        <f t="shared" si="49"/>
        <v>0</v>
      </c>
      <c r="F304" s="235">
        <f t="shared" si="50"/>
        <v>0</v>
      </c>
      <c r="G304" s="133" t="e">
        <f t="shared" si="51"/>
        <v>#DIV/0!</v>
      </c>
      <c r="H304" s="236"/>
      <c r="I304" s="236"/>
      <c r="J304" s="236"/>
      <c r="K304" s="351">
        <f t="shared" si="52"/>
        <v>0</v>
      </c>
      <c r="L304" s="133" t="e">
        <f t="shared" si="53"/>
        <v>#DIV/0!</v>
      </c>
      <c r="M304" s="234"/>
      <c r="N304" s="234"/>
      <c r="O304" s="234"/>
      <c r="P304" s="351">
        <f t="shared" si="54"/>
        <v>0</v>
      </c>
      <c r="Q304" s="352" t="e">
        <f t="shared" si="55"/>
        <v>#DIV/0!</v>
      </c>
    </row>
    <row r="305" spans="1:17" s="78" customFormat="1" ht="22.5" customHeight="1" hidden="1">
      <c r="A305" s="77" t="s">
        <v>162</v>
      </c>
      <c r="B305" s="81" t="s">
        <v>161</v>
      </c>
      <c r="C305" s="234">
        <f t="shared" si="48"/>
        <v>0</v>
      </c>
      <c r="D305" s="234">
        <f t="shared" si="48"/>
        <v>0</v>
      </c>
      <c r="E305" s="234">
        <f t="shared" si="49"/>
        <v>0</v>
      </c>
      <c r="F305" s="235">
        <f t="shared" si="50"/>
        <v>0</v>
      </c>
      <c r="G305" s="133" t="e">
        <f t="shared" si="51"/>
        <v>#DIV/0!</v>
      </c>
      <c r="H305" s="236"/>
      <c r="I305" s="236"/>
      <c r="J305" s="236"/>
      <c r="K305" s="351">
        <f t="shared" si="52"/>
        <v>0</v>
      </c>
      <c r="L305" s="133" t="e">
        <f t="shared" si="53"/>
        <v>#DIV/0!</v>
      </c>
      <c r="M305" s="234"/>
      <c r="N305" s="234"/>
      <c r="O305" s="234"/>
      <c r="P305" s="351">
        <f t="shared" si="54"/>
        <v>0</v>
      </c>
      <c r="Q305" s="352" t="e">
        <f t="shared" si="55"/>
        <v>#DIV/0!</v>
      </c>
    </row>
    <row r="306" spans="1:17" s="78" customFormat="1" ht="22.5" customHeight="1" hidden="1">
      <c r="A306" s="77" t="s">
        <v>164</v>
      </c>
      <c r="B306" s="81" t="s">
        <v>163</v>
      </c>
      <c r="C306" s="234">
        <f t="shared" si="48"/>
        <v>0</v>
      </c>
      <c r="D306" s="234">
        <f t="shared" si="48"/>
        <v>0</v>
      </c>
      <c r="E306" s="234">
        <f t="shared" si="49"/>
        <v>0</v>
      </c>
      <c r="F306" s="235">
        <f t="shared" si="50"/>
        <v>0</v>
      </c>
      <c r="G306" s="133" t="e">
        <f t="shared" si="51"/>
        <v>#DIV/0!</v>
      </c>
      <c r="H306" s="236"/>
      <c r="I306" s="236"/>
      <c r="J306" s="236"/>
      <c r="K306" s="351">
        <f t="shared" si="52"/>
        <v>0</v>
      </c>
      <c r="L306" s="133" t="e">
        <f t="shared" si="53"/>
        <v>#DIV/0!</v>
      </c>
      <c r="M306" s="234"/>
      <c r="N306" s="234"/>
      <c r="O306" s="234"/>
      <c r="P306" s="351">
        <f t="shared" si="54"/>
        <v>0</v>
      </c>
      <c r="Q306" s="352" t="e">
        <f t="shared" si="55"/>
        <v>#DIV/0!</v>
      </c>
    </row>
    <row r="307" spans="1:17" s="78" customFormat="1" ht="22.5" customHeight="1" hidden="1">
      <c r="A307" s="77" t="s">
        <v>462</v>
      </c>
      <c r="B307" s="81" t="s">
        <v>165</v>
      </c>
      <c r="C307" s="234">
        <f t="shared" si="48"/>
        <v>0</v>
      </c>
      <c r="D307" s="234">
        <f t="shared" si="48"/>
        <v>0</v>
      </c>
      <c r="E307" s="234">
        <f t="shared" si="49"/>
        <v>0</v>
      </c>
      <c r="F307" s="235">
        <f t="shared" si="50"/>
        <v>0</v>
      </c>
      <c r="G307" s="133" t="e">
        <f t="shared" si="51"/>
        <v>#DIV/0!</v>
      </c>
      <c r="H307" s="236"/>
      <c r="I307" s="236"/>
      <c r="J307" s="236"/>
      <c r="K307" s="351">
        <f t="shared" si="52"/>
        <v>0</v>
      </c>
      <c r="L307" s="133" t="e">
        <f t="shared" si="53"/>
        <v>#DIV/0!</v>
      </c>
      <c r="M307" s="234"/>
      <c r="N307" s="234"/>
      <c r="O307" s="234"/>
      <c r="P307" s="351">
        <f t="shared" si="54"/>
        <v>0</v>
      </c>
      <c r="Q307" s="352" t="e">
        <f t="shared" si="55"/>
        <v>#DIV/0!</v>
      </c>
    </row>
    <row r="308" spans="1:17" s="78" customFormat="1" ht="22.5" customHeight="1" hidden="1">
      <c r="A308" s="77" t="s">
        <v>294</v>
      </c>
      <c r="B308" s="81" t="s">
        <v>293</v>
      </c>
      <c r="C308" s="234">
        <f t="shared" si="48"/>
        <v>0</v>
      </c>
      <c r="D308" s="234">
        <f t="shared" si="48"/>
        <v>0</v>
      </c>
      <c r="E308" s="234">
        <f t="shared" si="49"/>
        <v>0</v>
      </c>
      <c r="F308" s="235">
        <f t="shared" si="50"/>
        <v>0</v>
      </c>
      <c r="G308" s="133" t="e">
        <f t="shared" si="51"/>
        <v>#DIV/0!</v>
      </c>
      <c r="H308" s="236"/>
      <c r="I308" s="236"/>
      <c r="J308" s="236"/>
      <c r="K308" s="351">
        <f t="shared" si="52"/>
        <v>0</v>
      </c>
      <c r="L308" s="133" t="e">
        <f t="shared" si="53"/>
        <v>#DIV/0!</v>
      </c>
      <c r="M308" s="234"/>
      <c r="N308" s="234"/>
      <c r="O308" s="234"/>
      <c r="P308" s="351">
        <f t="shared" si="54"/>
        <v>0</v>
      </c>
      <c r="Q308" s="352" t="e">
        <f t="shared" si="55"/>
        <v>#DIV/0!</v>
      </c>
    </row>
    <row r="309" spans="1:17" s="78" customFormat="1" ht="22.5" customHeight="1" hidden="1">
      <c r="A309" s="77" t="s">
        <v>147</v>
      </c>
      <c r="B309" s="81" t="s">
        <v>146</v>
      </c>
      <c r="C309" s="234">
        <f t="shared" si="48"/>
        <v>0</v>
      </c>
      <c r="D309" s="234">
        <f t="shared" si="48"/>
        <v>0</v>
      </c>
      <c r="E309" s="234">
        <f t="shared" si="49"/>
        <v>0</v>
      </c>
      <c r="F309" s="235">
        <f t="shared" si="50"/>
        <v>0</v>
      </c>
      <c r="G309" s="133" t="e">
        <f t="shared" si="51"/>
        <v>#DIV/0!</v>
      </c>
      <c r="H309" s="236"/>
      <c r="I309" s="236"/>
      <c r="J309" s="236"/>
      <c r="K309" s="351">
        <f t="shared" si="52"/>
        <v>0</v>
      </c>
      <c r="L309" s="133" t="e">
        <f t="shared" si="53"/>
        <v>#DIV/0!</v>
      </c>
      <c r="M309" s="234"/>
      <c r="N309" s="234"/>
      <c r="O309" s="234"/>
      <c r="P309" s="351">
        <f t="shared" si="54"/>
        <v>0</v>
      </c>
      <c r="Q309" s="352" t="e">
        <f t="shared" si="55"/>
        <v>#DIV/0!</v>
      </c>
    </row>
    <row r="310" spans="1:17" s="78" customFormat="1" ht="22.5" customHeight="1" hidden="1">
      <c r="A310" s="77" t="s">
        <v>296</v>
      </c>
      <c r="B310" s="81" t="s">
        <v>295</v>
      </c>
      <c r="C310" s="234">
        <f t="shared" si="48"/>
        <v>0</v>
      </c>
      <c r="D310" s="234">
        <f t="shared" si="48"/>
        <v>0</v>
      </c>
      <c r="E310" s="234">
        <f t="shared" si="49"/>
        <v>0</v>
      </c>
      <c r="F310" s="235">
        <f t="shared" si="50"/>
        <v>0</v>
      </c>
      <c r="G310" s="133" t="e">
        <f t="shared" si="51"/>
        <v>#DIV/0!</v>
      </c>
      <c r="H310" s="236"/>
      <c r="I310" s="236"/>
      <c r="J310" s="236"/>
      <c r="K310" s="351">
        <f t="shared" si="52"/>
        <v>0</v>
      </c>
      <c r="L310" s="133" t="e">
        <f t="shared" si="53"/>
        <v>#DIV/0!</v>
      </c>
      <c r="M310" s="234"/>
      <c r="N310" s="234"/>
      <c r="O310" s="234"/>
      <c r="P310" s="351">
        <f t="shared" si="54"/>
        <v>0</v>
      </c>
      <c r="Q310" s="352" t="e">
        <f t="shared" si="55"/>
        <v>#DIV/0!</v>
      </c>
    </row>
    <row r="311" spans="1:17" s="78" customFormat="1" ht="22.5" customHeight="1" hidden="1">
      <c r="A311" s="77" t="s">
        <v>149</v>
      </c>
      <c r="B311" s="81" t="s">
        <v>148</v>
      </c>
      <c r="C311" s="234">
        <f t="shared" si="48"/>
        <v>0</v>
      </c>
      <c r="D311" s="234">
        <f t="shared" si="48"/>
        <v>0</v>
      </c>
      <c r="E311" s="234">
        <f t="shared" si="49"/>
        <v>0</v>
      </c>
      <c r="F311" s="235">
        <f t="shared" si="50"/>
        <v>0</v>
      </c>
      <c r="G311" s="133" t="e">
        <f t="shared" si="51"/>
        <v>#DIV/0!</v>
      </c>
      <c r="H311" s="236"/>
      <c r="I311" s="236"/>
      <c r="J311" s="236"/>
      <c r="K311" s="351">
        <f t="shared" si="52"/>
        <v>0</v>
      </c>
      <c r="L311" s="133" t="e">
        <f t="shared" si="53"/>
        <v>#DIV/0!</v>
      </c>
      <c r="M311" s="234"/>
      <c r="N311" s="234"/>
      <c r="O311" s="234"/>
      <c r="P311" s="351">
        <f t="shared" si="54"/>
        <v>0</v>
      </c>
      <c r="Q311" s="352" t="e">
        <f t="shared" si="55"/>
        <v>#DIV/0!</v>
      </c>
    </row>
    <row r="312" spans="1:17" s="78" customFormat="1" ht="22.5" customHeight="1" hidden="1">
      <c r="A312" s="77" t="s">
        <v>298</v>
      </c>
      <c r="B312" s="81" t="s">
        <v>297</v>
      </c>
      <c r="C312" s="234">
        <f t="shared" si="48"/>
        <v>0</v>
      </c>
      <c r="D312" s="234">
        <f t="shared" si="48"/>
        <v>0</v>
      </c>
      <c r="E312" s="234">
        <f t="shared" si="49"/>
        <v>0</v>
      </c>
      <c r="F312" s="235">
        <f t="shared" si="50"/>
        <v>0</v>
      </c>
      <c r="G312" s="133" t="e">
        <f t="shared" si="51"/>
        <v>#DIV/0!</v>
      </c>
      <c r="H312" s="236"/>
      <c r="I312" s="236"/>
      <c r="J312" s="236"/>
      <c r="K312" s="351">
        <f t="shared" si="52"/>
        <v>0</v>
      </c>
      <c r="L312" s="133" t="e">
        <f t="shared" si="53"/>
        <v>#DIV/0!</v>
      </c>
      <c r="M312" s="234"/>
      <c r="N312" s="234"/>
      <c r="O312" s="234"/>
      <c r="P312" s="351">
        <f t="shared" si="54"/>
        <v>0</v>
      </c>
      <c r="Q312" s="352" t="e">
        <f t="shared" si="55"/>
        <v>#DIV/0!</v>
      </c>
    </row>
    <row r="313" spans="1:17" s="78" customFormat="1" ht="22.5" customHeight="1" hidden="1">
      <c r="A313" s="77" t="s">
        <v>151</v>
      </c>
      <c r="B313" s="81" t="s">
        <v>150</v>
      </c>
      <c r="C313" s="234">
        <f t="shared" si="48"/>
        <v>0</v>
      </c>
      <c r="D313" s="234">
        <f t="shared" si="48"/>
        <v>0</v>
      </c>
      <c r="E313" s="234">
        <f t="shared" si="49"/>
        <v>0</v>
      </c>
      <c r="F313" s="235">
        <f t="shared" si="50"/>
        <v>0</v>
      </c>
      <c r="G313" s="133" t="e">
        <f t="shared" si="51"/>
        <v>#DIV/0!</v>
      </c>
      <c r="H313" s="236"/>
      <c r="I313" s="236"/>
      <c r="J313" s="236"/>
      <c r="K313" s="351">
        <f t="shared" si="52"/>
        <v>0</v>
      </c>
      <c r="L313" s="133" t="e">
        <f t="shared" si="53"/>
        <v>#DIV/0!</v>
      </c>
      <c r="M313" s="234"/>
      <c r="N313" s="234"/>
      <c r="O313" s="234"/>
      <c r="P313" s="351">
        <f t="shared" si="54"/>
        <v>0</v>
      </c>
      <c r="Q313" s="352" t="e">
        <f t="shared" si="55"/>
        <v>#DIV/0!</v>
      </c>
    </row>
    <row r="314" spans="1:17" s="78" customFormat="1" ht="22.5" customHeight="1" hidden="1">
      <c r="A314" s="77" t="s">
        <v>300</v>
      </c>
      <c r="B314" s="81" t="s">
        <v>299</v>
      </c>
      <c r="C314" s="234">
        <f t="shared" si="48"/>
        <v>0</v>
      </c>
      <c r="D314" s="234">
        <f t="shared" si="48"/>
        <v>0</v>
      </c>
      <c r="E314" s="234">
        <f t="shared" si="49"/>
        <v>0</v>
      </c>
      <c r="F314" s="235">
        <f t="shared" si="50"/>
        <v>0</v>
      </c>
      <c r="G314" s="133" t="e">
        <f t="shared" si="51"/>
        <v>#DIV/0!</v>
      </c>
      <c r="H314" s="236"/>
      <c r="I314" s="236"/>
      <c r="J314" s="236"/>
      <c r="K314" s="351">
        <f t="shared" si="52"/>
        <v>0</v>
      </c>
      <c r="L314" s="133" t="e">
        <f t="shared" si="53"/>
        <v>#DIV/0!</v>
      </c>
      <c r="M314" s="234"/>
      <c r="N314" s="234"/>
      <c r="O314" s="234"/>
      <c r="P314" s="351">
        <f t="shared" si="54"/>
        <v>0</v>
      </c>
      <c r="Q314" s="352" t="e">
        <f t="shared" si="55"/>
        <v>#DIV/0!</v>
      </c>
    </row>
    <row r="315" spans="1:17" s="78" customFormat="1" ht="22.5" customHeight="1">
      <c r="A315" s="77" t="s">
        <v>153</v>
      </c>
      <c r="B315" s="81" t="s">
        <v>152</v>
      </c>
      <c r="C315" s="357">
        <f t="shared" si="48"/>
        <v>0</v>
      </c>
      <c r="D315" s="234">
        <f t="shared" si="48"/>
        <v>115</v>
      </c>
      <c r="E315" s="234">
        <f t="shared" si="49"/>
        <v>115</v>
      </c>
      <c r="F315" s="351">
        <f t="shared" si="50"/>
        <v>0</v>
      </c>
      <c r="G315" s="133">
        <f t="shared" si="51"/>
        <v>100</v>
      </c>
      <c r="H315" s="236"/>
      <c r="I315" s="236">
        <v>115</v>
      </c>
      <c r="J315" s="236">
        <v>115</v>
      </c>
      <c r="K315" s="351">
        <f t="shared" si="52"/>
        <v>0</v>
      </c>
      <c r="L315" s="133">
        <f t="shared" si="53"/>
        <v>100</v>
      </c>
      <c r="M315" s="234"/>
      <c r="N315" s="234"/>
      <c r="O315" s="234"/>
      <c r="P315" s="351">
        <f t="shared" si="54"/>
        <v>0</v>
      </c>
      <c r="Q315" s="352" t="e">
        <f t="shared" si="55"/>
        <v>#DIV/0!</v>
      </c>
    </row>
    <row r="316" spans="1:17" s="78" customFormat="1" ht="22.5" customHeight="1">
      <c r="A316" s="77" t="s">
        <v>155</v>
      </c>
      <c r="B316" s="81" t="s">
        <v>154</v>
      </c>
      <c r="C316" s="234">
        <f t="shared" si="48"/>
        <v>15760.199999999999</v>
      </c>
      <c r="D316" s="234">
        <f t="shared" si="48"/>
        <v>22652.449999999997</v>
      </c>
      <c r="E316" s="234">
        <f t="shared" si="49"/>
        <v>21720.469</v>
      </c>
      <c r="F316" s="235">
        <f t="shared" si="50"/>
        <v>-931.9809999999961</v>
      </c>
      <c r="G316" s="133">
        <f t="shared" si="51"/>
        <v>95.88573862871347</v>
      </c>
      <c r="H316" s="236">
        <v>1457.4</v>
      </c>
      <c r="I316" s="236">
        <v>7316.9</v>
      </c>
      <c r="J316" s="236">
        <v>7096.8</v>
      </c>
      <c r="K316" s="235">
        <f t="shared" si="52"/>
        <v>-220.09999999999945</v>
      </c>
      <c r="L316" s="133">
        <f t="shared" si="53"/>
        <v>96.99189547485958</v>
      </c>
      <c r="M316" s="234">
        <v>14302.8</v>
      </c>
      <c r="N316" s="234">
        <v>15335.55</v>
      </c>
      <c r="O316" s="234">
        <v>14623.669</v>
      </c>
      <c r="P316" s="235">
        <f t="shared" si="54"/>
        <v>-711.8809999999994</v>
      </c>
      <c r="Q316" s="133">
        <f t="shared" si="55"/>
        <v>95.35796890232173</v>
      </c>
    </row>
    <row r="317" spans="1:17" s="78" customFormat="1" ht="22.5" customHeight="1">
      <c r="A317" s="77" t="s">
        <v>192</v>
      </c>
      <c r="B317" s="81" t="s">
        <v>156</v>
      </c>
      <c r="C317" s="234">
        <f t="shared" si="48"/>
        <v>129654.1</v>
      </c>
      <c r="D317" s="234">
        <f t="shared" si="48"/>
        <v>133588.1</v>
      </c>
      <c r="E317" s="234">
        <f t="shared" si="49"/>
        <v>121077.886</v>
      </c>
      <c r="F317" s="235">
        <f t="shared" si="50"/>
        <v>-12510.214000000007</v>
      </c>
      <c r="G317" s="133">
        <f t="shared" si="51"/>
        <v>90.63523322810939</v>
      </c>
      <c r="H317" s="236">
        <v>129654.1</v>
      </c>
      <c r="I317" s="236">
        <v>133554.1</v>
      </c>
      <c r="J317" s="236">
        <v>121057.486</v>
      </c>
      <c r="K317" s="235">
        <f t="shared" si="52"/>
        <v>-12496.614000000001</v>
      </c>
      <c r="L317" s="133">
        <f t="shared" si="53"/>
        <v>90.64303229927049</v>
      </c>
      <c r="M317" s="234"/>
      <c r="N317" s="234">
        <v>34</v>
      </c>
      <c r="O317" s="234">
        <v>20.4</v>
      </c>
      <c r="P317" s="235">
        <f t="shared" si="54"/>
        <v>-13.600000000000001</v>
      </c>
      <c r="Q317" s="133">
        <f t="shared" si="55"/>
        <v>60</v>
      </c>
    </row>
    <row r="318" spans="1:17" s="78" customFormat="1" ht="22.5" customHeight="1" hidden="1">
      <c r="A318" s="77" t="s">
        <v>158</v>
      </c>
      <c r="B318" s="81" t="s">
        <v>157</v>
      </c>
      <c r="C318" s="234">
        <f t="shared" si="48"/>
        <v>0</v>
      </c>
      <c r="D318" s="234">
        <f t="shared" si="48"/>
        <v>0</v>
      </c>
      <c r="E318" s="234">
        <f t="shared" si="49"/>
        <v>0</v>
      </c>
      <c r="F318" s="235">
        <f t="shared" si="50"/>
        <v>0</v>
      </c>
      <c r="G318" s="133" t="e">
        <f t="shared" si="51"/>
        <v>#DIV/0!</v>
      </c>
      <c r="H318" s="236"/>
      <c r="I318" s="236"/>
      <c r="J318" s="236"/>
      <c r="K318" s="235">
        <f t="shared" si="52"/>
        <v>0</v>
      </c>
      <c r="L318" s="133" t="e">
        <f t="shared" si="53"/>
        <v>#DIV/0!</v>
      </c>
      <c r="M318" s="234"/>
      <c r="N318" s="234"/>
      <c r="O318" s="234"/>
      <c r="P318" s="235">
        <f t="shared" si="54"/>
        <v>0</v>
      </c>
      <c r="Q318" s="133" t="e">
        <f t="shared" si="55"/>
        <v>#DIV/0!</v>
      </c>
    </row>
    <row r="319" spans="1:17" s="78" customFormat="1" ht="22.5" customHeight="1">
      <c r="A319" s="77" t="s">
        <v>464</v>
      </c>
      <c r="B319" s="81" t="s">
        <v>463</v>
      </c>
      <c r="C319" s="234">
        <f t="shared" si="48"/>
        <v>10.1</v>
      </c>
      <c r="D319" s="234">
        <f t="shared" si="48"/>
        <v>4594</v>
      </c>
      <c r="E319" s="234">
        <f t="shared" si="49"/>
        <v>4593.59</v>
      </c>
      <c r="F319" s="235">
        <f t="shared" si="50"/>
        <v>-0.4099999999998545</v>
      </c>
      <c r="G319" s="133">
        <f t="shared" si="51"/>
        <v>99.99107531562909</v>
      </c>
      <c r="H319" s="236"/>
      <c r="I319" s="236">
        <v>489.8</v>
      </c>
      <c r="J319" s="236">
        <v>489.734</v>
      </c>
      <c r="K319" s="235">
        <f t="shared" si="52"/>
        <v>-0.06600000000003092</v>
      </c>
      <c r="L319" s="133">
        <f t="shared" si="53"/>
        <v>99.98652511229072</v>
      </c>
      <c r="M319" s="234">
        <v>10.1</v>
      </c>
      <c r="N319" s="234">
        <v>4104.2</v>
      </c>
      <c r="O319" s="234">
        <v>4103.856</v>
      </c>
      <c r="P319" s="235">
        <f t="shared" si="54"/>
        <v>-0.34400000000005093</v>
      </c>
      <c r="Q319" s="133">
        <f t="shared" si="55"/>
        <v>99.99161834218604</v>
      </c>
    </row>
    <row r="320" spans="1:17" s="78" customFormat="1" ht="22.5" customHeight="1" hidden="1">
      <c r="A320" s="77" t="s">
        <v>466</v>
      </c>
      <c r="B320" s="81" t="s">
        <v>465</v>
      </c>
      <c r="C320" s="234">
        <f t="shared" si="48"/>
        <v>0</v>
      </c>
      <c r="D320" s="234">
        <f t="shared" si="48"/>
        <v>0</v>
      </c>
      <c r="E320" s="234">
        <f t="shared" si="49"/>
        <v>0</v>
      </c>
      <c r="F320" s="235">
        <f t="shared" si="50"/>
        <v>0</v>
      </c>
      <c r="G320" s="133" t="e">
        <f t="shared" si="51"/>
        <v>#DIV/0!</v>
      </c>
      <c r="H320" s="236"/>
      <c r="I320" s="236"/>
      <c r="J320" s="236"/>
      <c r="K320" s="235">
        <f t="shared" si="52"/>
        <v>0</v>
      </c>
      <c r="L320" s="133" t="e">
        <f t="shared" si="53"/>
        <v>#DIV/0!</v>
      </c>
      <c r="M320" s="234"/>
      <c r="N320" s="234"/>
      <c r="O320" s="234"/>
      <c r="P320" s="235">
        <f t="shared" si="54"/>
        <v>0</v>
      </c>
      <c r="Q320" s="133" t="e">
        <f t="shared" si="55"/>
        <v>#DIV/0!</v>
      </c>
    </row>
    <row r="321" spans="1:17" s="76" customFormat="1" ht="22.5" customHeight="1">
      <c r="A321" s="75" t="s">
        <v>160</v>
      </c>
      <c r="B321" s="80" t="s">
        <v>159</v>
      </c>
      <c r="C321" s="233">
        <f>H321+M321</f>
        <v>4430366.100000001</v>
      </c>
      <c r="D321" s="233">
        <f>I321+N321</f>
        <v>5923886.249000001</v>
      </c>
      <c r="E321" s="233">
        <f>J321+O321</f>
        <v>5079292.464</v>
      </c>
      <c r="F321" s="232">
        <f t="shared" si="50"/>
        <v>-844593.7850000011</v>
      </c>
      <c r="G321" s="82">
        <f t="shared" si="51"/>
        <v>85.74257253601763</v>
      </c>
      <c r="H321" s="210">
        <v>3578076.2</v>
      </c>
      <c r="I321" s="210">
        <v>5011430.025</v>
      </c>
      <c r="J321" s="210">
        <v>4264508.506</v>
      </c>
      <c r="K321" s="232">
        <f t="shared" si="52"/>
        <v>-746921.5190000003</v>
      </c>
      <c r="L321" s="82">
        <f t="shared" si="53"/>
        <v>85.09564105906078</v>
      </c>
      <c r="M321" s="233">
        <v>852289.9</v>
      </c>
      <c r="N321" s="233">
        <v>912456.224</v>
      </c>
      <c r="O321" s="233">
        <v>814783.958</v>
      </c>
      <c r="P321" s="232">
        <f t="shared" si="54"/>
        <v>-97672.26600000006</v>
      </c>
      <c r="Q321" s="82">
        <f t="shared" si="55"/>
        <v>89.2956765014077</v>
      </c>
    </row>
    <row r="322" spans="1:17" s="78" customFormat="1" ht="22.5" customHeight="1">
      <c r="A322" s="77"/>
      <c r="B322" s="81" t="s">
        <v>159</v>
      </c>
      <c r="C322" s="234"/>
      <c r="D322" s="234"/>
      <c r="E322" s="236"/>
      <c r="F322" s="232"/>
      <c r="G322" s="82"/>
      <c r="H322" s="236"/>
      <c r="I322" s="236"/>
      <c r="J322" s="236"/>
      <c r="K322" s="232"/>
      <c r="L322" s="82"/>
      <c r="M322" s="234"/>
      <c r="N322" s="234"/>
      <c r="O322" s="234"/>
      <c r="P322" s="232"/>
      <c r="Q322" s="82"/>
    </row>
    <row r="323" spans="1:17" s="76" customFormat="1" ht="22.5" customHeight="1">
      <c r="A323" s="75" t="s">
        <v>7</v>
      </c>
      <c r="B323" s="79"/>
      <c r="C323" s="233">
        <f>C324+C366</f>
        <v>29466616.4</v>
      </c>
      <c r="D323" s="233">
        <f>D324+D366</f>
        <v>27078290.333</v>
      </c>
      <c r="E323" s="233">
        <f>E324+E366</f>
        <v>26818488.108000003</v>
      </c>
      <c r="F323" s="232">
        <f t="shared" si="50"/>
        <v>-259802.22499999776</v>
      </c>
      <c r="G323" s="82">
        <f t="shared" si="51"/>
        <v>99.04055159389668</v>
      </c>
      <c r="H323" s="233">
        <f>H324+H366</f>
        <v>28910839.799999997</v>
      </c>
      <c r="I323" s="233">
        <f>I324+I366</f>
        <v>26342841.815000005</v>
      </c>
      <c r="J323" s="233">
        <f>J324+J366</f>
        <v>26106723.192</v>
      </c>
      <c r="K323" s="232">
        <f t="shared" si="52"/>
        <v>-236118.6230000034</v>
      </c>
      <c r="L323" s="82">
        <f t="shared" si="53"/>
        <v>99.10367064928602</v>
      </c>
      <c r="M323" s="233">
        <f>M324+M366</f>
        <v>555776.6000000001</v>
      </c>
      <c r="N323" s="233">
        <f>N324+N366</f>
        <v>735448.518</v>
      </c>
      <c r="O323" s="233">
        <f>O324+O366</f>
        <v>711764.9160000001</v>
      </c>
      <c r="P323" s="232">
        <f t="shared" si="54"/>
        <v>-23683.601999999955</v>
      </c>
      <c r="Q323" s="82">
        <f t="shared" si="55"/>
        <v>96.77970633968971</v>
      </c>
    </row>
    <row r="324" spans="1:17" s="76" customFormat="1" ht="22.5" customHeight="1">
      <c r="A324" s="75" t="s">
        <v>130</v>
      </c>
      <c r="B324" s="80"/>
      <c r="C324" s="233">
        <f>C325+C326+C327+C328+C329+C330+C331+C332+C333+C334+C335+C336+C337+C338+C339+C340+C341+C342+C343+C344+C345+C346+C347+C348+C349+C350+C351+C352+C353+C354+C355+C356+C357+C358+C359+C360+C361+C362+C363+C364+C365</f>
        <v>29445482.599999998</v>
      </c>
      <c r="D324" s="233">
        <f>D325+D326+D327+D328+D329+D330+D331+D332+D333+D334+D335+D336+D337+D338+D339+D340+D341+D342+D343+D344+D345+D346+D347+D348+D349+D350+D351+D352+D353+D354+D355+D356+D357+D358+D359+D360+D361+D362+D363+D364+D365</f>
        <v>27052017.053</v>
      </c>
      <c r="E324" s="233">
        <f>E325+E326+E327+E328+E329+E330+E331+E332+E333+E334+E335+E336+E337+E338+E339+E340+E341+E342+E343+E344+E345+E346+E347+E348+E349+E350+E351+E352+E353+E354+E355+E356+E357+E358+E359+E360+E361+E362+E363+E364+E365</f>
        <v>26808221.545</v>
      </c>
      <c r="F324" s="232">
        <f t="shared" si="50"/>
        <v>-243795.5079999976</v>
      </c>
      <c r="G324" s="82">
        <f t="shared" si="51"/>
        <v>99.09878990715421</v>
      </c>
      <c r="H324" s="233">
        <f>H325+H326+H327+H328+H329+H330+H331+H332+H333+H334+H335+H336+H337+H338+H339+H340+H341+H342+H343+H344+H345+H346+H347+H348+H349+H350+H351+H352+H353+H354+H355+H356+H357+H358+H359+H360+H361+H362+H363+H364+H365</f>
        <v>28892601.999999996</v>
      </c>
      <c r="I324" s="233">
        <f>I325+I326+I327+I328+I329+I330+I331+I332+I333+I334+I335+I336+I337+I338+I339+I340+I341+I342+I343+I344+I345+I346+I347+I348+I349+I350+I351+I352+I353+I354+I355+I356+I357+I358+I359+I360+I361+I362+I363+I364+I365</f>
        <v>26320077.715000004</v>
      </c>
      <c r="J324" s="233">
        <f>J325+J326+J327+J328+J329+J330+J331+J332+J333+J334+J335+J336+J337+J338+J339+J340+J341+J342+J343+J344+J345+J346+J347+J348+J349+J350+J351+J352+J353+J354+J355+J356+J357+J358+J359+J360+J361+J362+J363+J364+J365</f>
        <v>26099516.364</v>
      </c>
      <c r="K324" s="232">
        <f t="shared" si="52"/>
        <v>-220561.35100000352</v>
      </c>
      <c r="L324" s="82">
        <f t="shared" si="53"/>
        <v>99.16200342039907</v>
      </c>
      <c r="M324" s="233">
        <f>M325+M326+M327+M328+M329+M330+M331+M332+M333+M334+M335+M336+M337+M338+M339+M340+M341+M342+M343+M344+M345+M346+M347+M348+M349+M350+M351+M352+M353+M354+M355+M356+M357+M358+M359+M360+M361+M362+M363+M364+M365</f>
        <v>552880.6000000001</v>
      </c>
      <c r="N324" s="233">
        <f>N325+N326+N327+N328+N329+N330+N331+N332+N333+N334+N335+N336+N337+N338+N339+N340+N341+N342+N343+N344+N345+N346+N347+N348+N349+N350+N351+N352+N353+N354+N355+N356+N357+N358+N359+N360+N361+N362+N363+N364+N365</f>
        <v>731939.338</v>
      </c>
      <c r="O324" s="233">
        <f>O325+O326+O327+O328+O329+O330+O331+O332+O333+O334+O335+O336+O337+O338+O339+O340+O341+O342+O343+O344+O345+O346+O347+O348+O349+O350+O351+O352+O353+O354+O355+O356+O357+O358+O359+O360+O361+O362+O363+O364+O365</f>
        <v>708705.1810000001</v>
      </c>
      <c r="P324" s="232">
        <f t="shared" si="54"/>
        <v>-23234.15699999989</v>
      </c>
      <c r="Q324" s="82">
        <f t="shared" si="55"/>
        <v>96.82567177445517</v>
      </c>
    </row>
    <row r="325" spans="1:17" s="78" customFormat="1" ht="22.5" customHeight="1">
      <c r="A325" s="77" t="s">
        <v>132</v>
      </c>
      <c r="B325" s="81" t="s">
        <v>131</v>
      </c>
      <c r="C325" s="234">
        <f>H325+M325</f>
        <v>1868883</v>
      </c>
      <c r="D325" s="234">
        <f>I325+N325</f>
        <v>715709.5</v>
      </c>
      <c r="E325" s="234">
        <f>J325+O325</f>
        <v>707875.407</v>
      </c>
      <c r="F325" s="235">
        <f t="shared" si="50"/>
        <v>-7834.0929999999935</v>
      </c>
      <c r="G325" s="133">
        <f t="shared" si="51"/>
        <v>98.90540882858198</v>
      </c>
      <c r="H325" s="236">
        <v>1733247.4</v>
      </c>
      <c r="I325" s="236">
        <v>573805.7</v>
      </c>
      <c r="J325" s="236">
        <v>566754.657</v>
      </c>
      <c r="K325" s="235">
        <f t="shared" si="52"/>
        <v>-7051.042999999947</v>
      </c>
      <c r="L325" s="133">
        <f t="shared" si="53"/>
        <v>98.77117933823246</v>
      </c>
      <c r="M325" s="234">
        <v>135635.6</v>
      </c>
      <c r="N325" s="234">
        <v>141903.8</v>
      </c>
      <c r="O325" s="234">
        <v>141120.75</v>
      </c>
      <c r="P325" s="235">
        <f t="shared" si="54"/>
        <v>-783.0499999999884</v>
      </c>
      <c r="Q325" s="133">
        <f t="shared" si="55"/>
        <v>99.44818250110286</v>
      </c>
    </row>
    <row r="326" spans="1:17" s="78" customFormat="1" ht="22.5" customHeight="1">
      <c r="A326" s="77" t="s">
        <v>134</v>
      </c>
      <c r="B326" s="81" t="s">
        <v>133</v>
      </c>
      <c r="C326" s="234">
        <f aca="true" t="shared" si="56" ref="C326:D365">H326+M326</f>
        <v>365984.1</v>
      </c>
      <c r="D326" s="234">
        <f t="shared" si="56"/>
        <v>136752.253</v>
      </c>
      <c r="E326" s="234">
        <f>J326+O326</f>
        <v>130088.499</v>
      </c>
      <c r="F326" s="235">
        <f t="shared" si="50"/>
        <v>-6663.754000000001</v>
      </c>
      <c r="G326" s="133">
        <f t="shared" si="51"/>
        <v>95.12713402974062</v>
      </c>
      <c r="H326" s="236">
        <v>344357.5</v>
      </c>
      <c r="I326" s="236">
        <v>114142.5</v>
      </c>
      <c r="J326" s="236">
        <v>107875.544</v>
      </c>
      <c r="K326" s="235">
        <f t="shared" si="52"/>
        <v>-6266.956000000006</v>
      </c>
      <c r="L326" s="133">
        <f t="shared" si="53"/>
        <v>94.509533258865</v>
      </c>
      <c r="M326" s="234">
        <v>21626.6</v>
      </c>
      <c r="N326" s="234">
        <v>22609.753</v>
      </c>
      <c r="O326" s="234">
        <v>22212.955</v>
      </c>
      <c r="P326" s="235">
        <f t="shared" si="54"/>
        <v>-396.79799999999886</v>
      </c>
      <c r="Q326" s="133">
        <f t="shared" si="55"/>
        <v>98.24501399904723</v>
      </c>
    </row>
    <row r="327" spans="1:17" s="78" customFormat="1" ht="22.5" customHeight="1">
      <c r="A327" s="77" t="s">
        <v>136</v>
      </c>
      <c r="B327" s="81" t="s">
        <v>135</v>
      </c>
      <c r="C327" s="234">
        <f t="shared" si="56"/>
        <v>19021</v>
      </c>
      <c r="D327" s="234">
        <f t="shared" si="56"/>
        <v>20199.951999999997</v>
      </c>
      <c r="E327" s="234">
        <f>J327+O327</f>
        <v>19341.703</v>
      </c>
      <c r="F327" s="235">
        <f t="shared" si="50"/>
        <v>-858.2489999999962</v>
      </c>
      <c r="G327" s="133">
        <f t="shared" si="51"/>
        <v>95.7512324781762</v>
      </c>
      <c r="H327" s="236">
        <v>16945.2</v>
      </c>
      <c r="I327" s="236">
        <v>17915.6</v>
      </c>
      <c r="J327" s="236">
        <v>17115.186</v>
      </c>
      <c r="K327" s="235">
        <f t="shared" si="52"/>
        <v>-800.413999999997</v>
      </c>
      <c r="L327" s="133">
        <f t="shared" si="53"/>
        <v>95.53230703967493</v>
      </c>
      <c r="M327" s="234">
        <v>2075.8</v>
      </c>
      <c r="N327" s="234">
        <v>2284.352</v>
      </c>
      <c r="O327" s="234">
        <v>2226.517</v>
      </c>
      <c r="P327" s="235">
        <f t="shared" si="54"/>
        <v>-57.835000000000036</v>
      </c>
      <c r="Q327" s="133">
        <f t="shared" si="55"/>
        <v>97.46820980304261</v>
      </c>
    </row>
    <row r="328" spans="1:17" s="78" customFormat="1" ht="22.5" customHeight="1">
      <c r="A328" s="77" t="s">
        <v>443</v>
      </c>
      <c r="B328" s="81" t="s">
        <v>137</v>
      </c>
      <c r="C328" s="234">
        <f t="shared" si="56"/>
        <v>197053.1</v>
      </c>
      <c r="D328" s="234">
        <f t="shared" si="56"/>
        <v>186827.024</v>
      </c>
      <c r="E328" s="234">
        <f>J328+O328</f>
        <v>170119.214</v>
      </c>
      <c r="F328" s="235">
        <f t="shared" si="50"/>
        <v>-16707.809999999998</v>
      </c>
      <c r="G328" s="133">
        <f t="shared" si="51"/>
        <v>91.05706998790495</v>
      </c>
      <c r="H328" s="234">
        <v>195674.9</v>
      </c>
      <c r="I328" s="234">
        <v>185504.1</v>
      </c>
      <c r="J328" s="234">
        <v>168873.462</v>
      </c>
      <c r="K328" s="235">
        <f t="shared" si="52"/>
        <v>-16630.638000000006</v>
      </c>
      <c r="L328" s="133">
        <f t="shared" si="53"/>
        <v>91.03489464653342</v>
      </c>
      <c r="M328" s="234">
        <v>1378.2</v>
      </c>
      <c r="N328" s="234">
        <v>1322.924</v>
      </c>
      <c r="O328" s="234">
        <v>1245.752</v>
      </c>
      <c r="P328" s="235">
        <f t="shared" si="54"/>
        <v>-77.17200000000003</v>
      </c>
      <c r="Q328" s="133">
        <f t="shared" si="55"/>
        <v>94.16655832081057</v>
      </c>
    </row>
    <row r="329" spans="1:17" s="78" customFormat="1" ht="22.5" customHeight="1">
      <c r="A329" s="77" t="s">
        <v>9</v>
      </c>
      <c r="B329" s="81" t="s">
        <v>138</v>
      </c>
      <c r="C329" s="234">
        <f t="shared" si="56"/>
        <v>9781.699999999999</v>
      </c>
      <c r="D329" s="234">
        <f t="shared" si="56"/>
        <v>8797</v>
      </c>
      <c r="E329" s="234">
        <f aca="true" t="shared" si="57" ref="E329:E365">J329+O329</f>
        <v>8415.5</v>
      </c>
      <c r="F329" s="235">
        <f t="shared" si="50"/>
        <v>-381.5</v>
      </c>
      <c r="G329" s="133">
        <f t="shared" si="51"/>
        <v>95.66329430487667</v>
      </c>
      <c r="H329" s="236">
        <v>9715.3</v>
      </c>
      <c r="I329" s="236">
        <v>8700.6</v>
      </c>
      <c r="J329" s="236">
        <v>8333.8</v>
      </c>
      <c r="K329" s="235">
        <f t="shared" si="52"/>
        <v>-366.8000000000011</v>
      </c>
      <c r="L329" s="133">
        <f t="shared" si="53"/>
        <v>95.78419879088797</v>
      </c>
      <c r="M329" s="234">
        <v>66.4</v>
      </c>
      <c r="N329" s="234">
        <v>96.4</v>
      </c>
      <c r="O329" s="234">
        <v>81.7</v>
      </c>
      <c r="P329" s="235">
        <f t="shared" si="54"/>
        <v>-14.700000000000003</v>
      </c>
      <c r="Q329" s="133">
        <f t="shared" si="55"/>
        <v>84.75103734439834</v>
      </c>
    </row>
    <row r="330" spans="1:17" s="78" customFormat="1" ht="22.5" customHeight="1">
      <c r="A330" s="77" t="s">
        <v>140</v>
      </c>
      <c r="B330" s="81" t="s">
        <v>139</v>
      </c>
      <c r="C330" s="234">
        <f t="shared" si="56"/>
        <v>25418.3</v>
      </c>
      <c r="D330" s="234">
        <f t="shared" si="56"/>
        <v>22882.088</v>
      </c>
      <c r="E330" s="234">
        <f t="shared" si="57"/>
        <v>19381.307999999997</v>
      </c>
      <c r="F330" s="235">
        <f t="shared" si="50"/>
        <v>-3500.7800000000025</v>
      </c>
      <c r="G330" s="133">
        <f t="shared" si="51"/>
        <v>84.70078429905521</v>
      </c>
      <c r="H330" s="236">
        <v>22199.6</v>
      </c>
      <c r="I330" s="236">
        <v>20004.188</v>
      </c>
      <c r="J330" s="236">
        <v>16752.369</v>
      </c>
      <c r="K330" s="235">
        <f t="shared" si="52"/>
        <v>-3251.8189999999995</v>
      </c>
      <c r="L330" s="133">
        <f t="shared" si="53"/>
        <v>83.74430894170762</v>
      </c>
      <c r="M330" s="234">
        <v>3218.7</v>
      </c>
      <c r="N330" s="234">
        <v>2877.9</v>
      </c>
      <c r="O330" s="234">
        <v>2628.939</v>
      </c>
      <c r="P330" s="235">
        <f t="shared" si="54"/>
        <v>-248.96100000000024</v>
      </c>
      <c r="Q330" s="133">
        <f t="shared" si="55"/>
        <v>91.349212967789</v>
      </c>
    </row>
    <row r="331" spans="1:17" s="78" customFormat="1" ht="22.5" customHeight="1">
      <c r="A331" s="77" t="s">
        <v>444</v>
      </c>
      <c r="B331" s="81" t="s">
        <v>141</v>
      </c>
      <c r="C331" s="234">
        <f t="shared" si="56"/>
        <v>597443.7</v>
      </c>
      <c r="D331" s="234">
        <f t="shared" si="56"/>
        <v>157212.265</v>
      </c>
      <c r="E331" s="234">
        <f t="shared" si="57"/>
        <v>118228.71399999999</v>
      </c>
      <c r="F331" s="235">
        <f t="shared" si="50"/>
        <v>-38983.55100000002</v>
      </c>
      <c r="G331" s="133">
        <f t="shared" si="51"/>
        <v>75.20323811885795</v>
      </c>
      <c r="H331" s="234">
        <v>569001.2</v>
      </c>
      <c r="I331" s="234">
        <v>126012.137</v>
      </c>
      <c r="J331" s="240">
        <v>89988.639</v>
      </c>
      <c r="K331" s="235">
        <f t="shared" si="52"/>
        <v>-36023.49800000001</v>
      </c>
      <c r="L331" s="133">
        <f t="shared" si="53"/>
        <v>71.4126759075596</v>
      </c>
      <c r="M331" s="234">
        <v>28442.5</v>
      </c>
      <c r="N331" s="234">
        <v>31200.128</v>
      </c>
      <c r="O331" s="234">
        <v>28240.075</v>
      </c>
      <c r="P331" s="235">
        <f t="shared" si="54"/>
        <v>-2960.053</v>
      </c>
      <c r="Q331" s="133">
        <f t="shared" si="55"/>
        <v>90.51268956332487</v>
      </c>
    </row>
    <row r="332" spans="1:17" s="78" customFormat="1" ht="22.5" customHeight="1" hidden="1">
      <c r="A332" s="77" t="s">
        <v>290</v>
      </c>
      <c r="B332" s="81" t="s">
        <v>285</v>
      </c>
      <c r="C332" s="234">
        <f t="shared" si="56"/>
        <v>0</v>
      </c>
      <c r="D332" s="234">
        <f t="shared" si="56"/>
        <v>0</v>
      </c>
      <c r="E332" s="234">
        <f t="shared" si="57"/>
        <v>0</v>
      </c>
      <c r="F332" s="235">
        <f t="shared" si="50"/>
        <v>0</v>
      </c>
      <c r="G332" s="133" t="e">
        <f t="shared" si="51"/>
        <v>#DIV/0!</v>
      </c>
      <c r="H332" s="236"/>
      <c r="I332" s="236"/>
      <c r="J332" s="236"/>
      <c r="K332" s="235">
        <f t="shared" si="52"/>
        <v>0</v>
      </c>
      <c r="L332" s="133" t="e">
        <f t="shared" si="53"/>
        <v>#DIV/0!</v>
      </c>
      <c r="M332" s="234"/>
      <c r="N332" s="234"/>
      <c r="O332" s="234"/>
      <c r="P332" s="235">
        <f t="shared" si="54"/>
        <v>0</v>
      </c>
      <c r="Q332" s="133" t="e">
        <f t="shared" si="55"/>
        <v>#DIV/0!</v>
      </c>
    </row>
    <row r="333" spans="1:17" s="78" customFormat="1" ht="22.5" customHeight="1">
      <c r="A333" s="77" t="s">
        <v>519</v>
      </c>
      <c r="B333" s="81" t="s">
        <v>286</v>
      </c>
      <c r="C333" s="234">
        <f t="shared" si="56"/>
        <v>12730.1</v>
      </c>
      <c r="D333" s="234">
        <f t="shared" si="56"/>
        <v>12482</v>
      </c>
      <c r="E333" s="234">
        <f t="shared" si="57"/>
        <v>10213.001</v>
      </c>
      <c r="F333" s="235">
        <f t="shared" si="50"/>
        <v>-2268.999</v>
      </c>
      <c r="G333" s="133">
        <f t="shared" si="51"/>
        <v>81.82183143726967</v>
      </c>
      <c r="H333" s="236">
        <v>10896.1</v>
      </c>
      <c r="I333" s="236">
        <v>10648.7</v>
      </c>
      <c r="J333" s="236">
        <v>8445.146</v>
      </c>
      <c r="K333" s="235">
        <f t="shared" si="52"/>
        <v>-2203.554</v>
      </c>
      <c r="L333" s="133">
        <f t="shared" si="53"/>
        <v>79.30682618535596</v>
      </c>
      <c r="M333" s="234">
        <v>1834</v>
      </c>
      <c r="N333" s="234">
        <v>1833.3</v>
      </c>
      <c r="O333" s="234">
        <v>1767.855</v>
      </c>
      <c r="P333" s="235">
        <f t="shared" si="54"/>
        <v>-65.44499999999994</v>
      </c>
      <c r="Q333" s="133">
        <f t="shared" si="55"/>
        <v>96.4302078219604</v>
      </c>
    </row>
    <row r="334" spans="1:17" s="78" customFormat="1" ht="22.5" customHeight="1">
      <c r="A334" s="77" t="s">
        <v>169</v>
      </c>
      <c r="B334" s="81" t="s">
        <v>287</v>
      </c>
      <c r="C334" s="234">
        <f t="shared" si="56"/>
        <v>104190.5</v>
      </c>
      <c r="D334" s="234">
        <f t="shared" si="56"/>
        <v>105475.2</v>
      </c>
      <c r="E334" s="234">
        <f t="shared" si="57"/>
        <v>94403.193</v>
      </c>
      <c r="F334" s="235">
        <f t="shared" si="50"/>
        <v>-11072.006999999998</v>
      </c>
      <c r="G334" s="133">
        <f t="shared" si="51"/>
        <v>89.50273903249295</v>
      </c>
      <c r="H334" s="236">
        <v>86271</v>
      </c>
      <c r="I334" s="236">
        <v>87536.26</v>
      </c>
      <c r="J334" s="236">
        <v>77970.284</v>
      </c>
      <c r="K334" s="235">
        <f t="shared" si="52"/>
        <v>-9565.975999999995</v>
      </c>
      <c r="L334" s="133">
        <f t="shared" si="53"/>
        <v>89.07198456959436</v>
      </c>
      <c r="M334" s="234">
        <v>17919.5</v>
      </c>
      <c r="N334" s="234">
        <v>17938.94</v>
      </c>
      <c r="O334" s="234">
        <v>16432.909</v>
      </c>
      <c r="P334" s="235">
        <f t="shared" si="54"/>
        <v>-1506.030999999999</v>
      </c>
      <c r="Q334" s="133">
        <f t="shared" si="55"/>
        <v>91.60468232794135</v>
      </c>
    </row>
    <row r="335" spans="1:17" s="78" customFormat="1" ht="22.5" customHeight="1">
      <c r="A335" s="77" t="s">
        <v>446</v>
      </c>
      <c r="B335" s="81" t="s">
        <v>445</v>
      </c>
      <c r="C335" s="234">
        <f t="shared" si="56"/>
        <v>6495.3</v>
      </c>
      <c r="D335" s="234">
        <f t="shared" si="56"/>
        <v>6306.6</v>
      </c>
      <c r="E335" s="234">
        <f t="shared" si="57"/>
        <v>5649.487999999999</v>
      </c>
      <c r="F335" s="235">
        <f t="shared" si="50"/>
        <v>-657.112000000001</v>
      </c>
      <c r="G335" s="133">
        <f t="shared" si="51"/>
        <v>89.58056639076521</v>
      </c>
      <c r="H335" s="236">
        <v>4813.8</v>
      </c>
      <c r="I335" s="236">
        <v>4480.7</v>
      </c>
      <c r="J335" s="236">
        <v>4212.239</v>
      </c>
      <c r="K335" s="235">
        <f t="shared" si="52"/>
        <v>-268.46100000000024</v>
      </c>
      <c r="L335" s="133">
        <f t="shared" si="53"/>
        <v>94.00850313567076</v>
      </c>
      <c r="M335" s="234">
        <v>1681.5</v>
      </c>
      <c r="N335" s="234">
        <v>1825.9</v>
      </c>
      <c r="O335" s="234">
        <v>1437.249</v>
      </c>
      <c r="P335" s="235">
        <f t="shared" si="54"/>
        <v>-388.65100000000007</v>
      </c>
      <c r="Q335" s="133">
        <f t="shared" si="55"/>
        <v>78.714551727915</v>
      </c>
    </row>
    <row r="336" spans="1:17" s="78" customFormat="1" ht="22.5" customHeight="1">
      <c r="A336" s="77" t="s">
        <v>448</v>
      </c>
      <c r="B336" s="81" t="s">
        <v>447</v>
      </c>
      <c r="C336" s="234">
        <f t="shared" si="56"/>
        <v>15213</v>
      </c>
      <c r="D336" s="234">
        <f t="shared" si="56"/>
        <v>17121.405</v>
      </c>
      <c r="E336" s="234">
        <f t="shared" si="57"/>
        <v>15566.882000000001</v>
      </c>
      <c r="F336" s="235">
        <f t="shared" si="50"/>
        <v>-1554.5229999999974</v>
      </c>
      <c r="G336" s="133">
        <f t="shared" si="51"/>
        <v>90.92058741674532</v>
      </c>
      <c r="H336" s="236">
        <v>11729.7</v>
      </c>
      <c r="I336" s="236">
        <v>13639.03</v>
      </c>
      <c r="J336" s="236">
        <v>12304.28</v>
      </c>
      <c r="K336" s="235">
        <f t="shared" si="52"/>
        <v>-1334.75</v>
      </c>
      <c r="L336" s="133">
        <f t="shared" si="53"/>
        <v>90.2137468720283</v>
      </c>
      <c r="M336" s="234">
        <v>3483.3</v>
      </c>
      <c r="N336" s="234">
        <v>3482.375</v>
      </c>
      <c r="O336" s="234">
        <v>3262.602</v>
      </c>
      <c r="P336" s="235">
        <f t="shared" si="54"/>
        <v>-219.77300000000014</v>
      </c>
      <c r="Q336" s="133">
        <f t="shared" si="55"/>
        <v>93.68899099034424</v>
      </c>
    </row>
    <row r="337" spans="1:17" s="78" customFormat="1" ht="22.5" customHeight="1">
      <c r="A337" s="77" t="s">
        <v>170</v>
      </c>
      <c r="B337" s="81" t="s">
        <v>449</v>
      </c>
      <c r="C337" s="234">
        <f t="shared" si="56"/>
        <v>2322</v>
      </c>
      <c r="D337" s="234">
        <f t="shared" si="56"/>
        <v>2601.8</v>
      </c>
      <c r="E337" s="234">
        <f t="shared" si="57"/>
        <v>2450.33</v>
      </c>
      <c r="F337" s="235">
        <f t="shared" si="50"/>
        <v>-151.47000000000025</v>
      </c>
      <c r="G337" s="133">
        <f t="shared" si="51"/>
        <v>94.17826120378199</v>
      </c>
      <c r="H337" s="236">
        <v>1812</v>
      </c>
      <c r="I337" s="236">
        <v>2091.8</v>
      </c>
      <c r="J337" s="236">
        <v>1983.387</v>
      </c>
      <c r="K337" s="235">
        <f t="shared" si="52"/>
        <v>-108.41300000000024</v>
      </c>
      <c r="L337" s="133">
        <f t="shared" si="53"/>
        <v>94.81723874175351</v>
      </c>
      <c r="M337" s="234">
        <v>510</v>
      </c>
      <c r="N337" s="234">
        <v>510</v>
      </c>
      <c r="O337" s="234">
        <v>466.943</v>
      </c>
      <c r="P337" s="235">
        <f t="shared" si="54"/>
        <v>-43.057000000000016</v>
      </c>
      <c r="Q337" s="133">
        <f t="shared" si="55"/>
        <v>91.55745098039215</v>
      </c>
    </row>
    <row r="338" spans="1:17" s="78" customFormat="1" ht="22.5" customHeight="1">
      <c r="A338" s="77" t="s">
        <v>451</v>
      </c>
      <c r="B338" s="81" t="s">
        <v>450</v>
      </c>
      <c r="C338" s="234">
        <f t="shared" si="56"/>
        <v>10170.400000000001</v>
      </c>
      <c r="D338" s="234">
        <f t="shared" si="56"/>
        <v>9057.6</v>
      </c>
      <c r="E338" s="234">
        <f t="shared" si="57"/>
        <v>8879.508</v>
      </c>
      <c r="F338" s="235">
        <f t="shared" si="50"/>
        <v>-178.09200000000055</v>
      </c>
      <c r="G338" s="133">
        <f t="shared" si="51"/>
        <v>98.03378378378378</v>
      </c>
      <c r="H338" s="236">
        <v>9297.7</v>
      </c>
      <c r="I338" s="236">
        <v>8196.7</v>
      </c>
      <c r="J338" s="236">
        <v>8039.548</v>
      </c>
      <c r="K338" s="235">
        <f t="shared" si="52"/>
        <v>-157.15200000000095</v>
      </c>
      <c r="L338" s="133">
        <f t="shared" si="53"/>
        <v>98.08274061512559</v>
      </c>
      <c r="M338" s="234">
        <v>872.7</v>
      </c>
      <c r="N338" s="234">
        <v>860.9</v>
      </c>
      <c r="O338" s="234">
        <v>839.96</v>
      </c>
      <c r="P338" s="235">
        <f t="shared" si="54"/>
        <v>-20.93999999999994</v>
      </c>
      <c r="Q338" s="133">
        <f t="shared" si="55"/>
        <v>97.5676617493321</v>
      </c>
    </row>
    <row r="339" spans="1:17" s="78" customFormat="1" ht="22.5" customHeight="1">
      <c r="A339" s="77" t="s">
        <v>453</v>
      </c>
      <c r="B339" s="81" t="s">
        <v>452</v>
      </c>
      <c r="C339" s="234">
        <f t="shared" si="56"/>
        <v>1895.4</v>
      </c>
      <c r="D339" s="234">
        <f t="shared" si="56"/>
        <v>1452.4</v>
      </c>
      <c r="E339" s="234">
        <f t="shared" si="57"/>
        <v>1346.5929999999998</v>
      </c>
      <c r="F339" s="235">
        <f t="shared" si="50"/>
        <v>-105.80700000000024</v>
      </c>
      <c r="G339" s="133">
        <f t="shared" si="51"/>
        <v>92.71502340952904</v>
      </c>
      <c r="H339" s="236">
        <v>1646.4</v>
      </c>
      <c r="I339" s="236">
        <v>1203.4</v>
      </c>
      <c r="J339" s="236">
        <v>1128.021</v>
      </c>
      <c r="K339" s="235">
        <f t="shared" si="52"/>
        <v>-75.37900000000013</v>
      </c>
      <c r="L339" s="133">
        <f t="shared" si="53"/>
        <v>93.73616420142928</v>
      </c>
      <c r="M339" s="234">
        <v>249</v>
      </c>
      <c r="N339" s="234">
        <v>249</v>
      </c>
      <c r="O339" s="234">
        <v>218.572</v>
      </c>
      <c r="P339" s="235">
        <f t="shared" si="54"/>
        <v>-30.427999999999997</v>
      </c>
      <c r="Q339" s="133">
        <f t="shared" si="55"/>
        <v>87.77991967871486</v>
      </c>
    </row>
    <row r="340" spans="1:17" s="78" customFormat="1" ht="22.5" customHeight="1">
      <c r="A340" s="77" t="s">
        <v>455</v>
      </c>
      <c r="B340" s="81" t="s">
        <v>454</v>
      </c>
      <c r="C340" s="234">
        <f t="shared" si="56"/>
        <v>71741.8</v>
      </c>
      <c r="D340" s="234">
        <f t="shared" si="56"/>
        <v>76586.2</v>
      </c>
      <c r="E340" s="234">
        <f t="shared" si="57"/>
        <v>76379.403</v>
      </c>
      <c r="F340" s="235">
        <f t="shared" si="50"/>
        <v>-206.79699999999139</v>
      </c>
      <c r="G340" s="133">
        <f t="shared" si="51"/>
        <v>99.72998138045759</v>
      </c>
      <c r="H340" s="236">
        <v>71741.8</v>
      </c>
      <c r="I340" s="236">
        <v>76586.2</v>
      </c>
      <c r="J340" s="236">
        <v>76379.403</v>
      </c>
      <c r="K340" s="235">
        <f t="shared" si="52"/>
        <v>-206.79699999999139</v>
      </c>
      <c r="L340" s="133">
        <f t="shared" si="53"/>
        <v>99.72998138045759</v>
      </c>
      <c r="M340" s="234"/>
      <c r="N340" s="234"/>
      <c r="O340" s="234"/>
      <c r="P340" s="351">
        <f t="shared" si="54"/>
        <v>0</v>
      </c>
      <c r="Q340" s="352" t="e">
        <f t="shared" si="55"/>
        <v>#DIV/0!</v>
      </c>
    </row>
    <row r="341" spans="1:17" s="78" customFormat="1" ht="22.5" customHeight="1">
      <c r="A341" s="77" t="s">
        <v>543</v>
      </c>
      <c r="B341" s="81" t="s">
        <v>456</v>
      </c>
      <c r="C341" s="234">
        <f t="shared" si="56"/>
        <v>48093.1</v>
      </c>
      <c r="D341" s="234">
        <f t="shared" si="56"/>
        <v>44636.049</v>
      </c>
      <c r="E341" s="234">
        <f t="shared" si="57"/>
        <v>37048.521</v>
      </c>
      <c r="F341" s="235">
        <f t="shared" si="50"/>
        <v>-7587.527999999998</v>
      </c>
      <c r="G341" s="133">
        <f t="shared" si="51"/>
        <v>83.00134494430725</v>
      </c>
      <c r="H341" s="236">
        <v>38455</v>
      </c>
      <c r="I341" s="236">
        <v>35092.1</v>
      </c>
      <c r="J341" s="236">
        <v>27886.346</v>
      </c>
      <c r="K341" s="235">
        <f t="shared" si="52"/>
        <v>-7205.753999999997</v>
      </c>
      <c r="L341" s="133">
        <f t="shared" si="53"/>
        <v>79.46616474933106</v>
      </c>
      <c r="M341" s="234">
        <v>9638.1</v>
      </c>
      <c r="N341" s="234">
        <v>9543.949</v>
      </c>
      <c r="O341" s="234">
        <v>9162.175</v>
      </c>
      <c r="P341" s="235">
        <f t="shared" si="54"/>
        <v>-381.77400000000125</v>
      </c>
      <c r="Q341" s="133">
        <f t="shared" si="55"/>
        <v>95.99983193539697</v>
      </c>
    </row>
    <row r="342" spans="1:17" s="78" customFormat="1" ht="22.5" customHeight="1" hidden="1">
      <c r="A342" s="77" t="s">
        <v>167</v>
      </c>
      <c r="B342" s="81" t="s">
        <v>457</v>
      </c>
      <c r="C342" s="234">
        <f t="shared" si="56"/>
        <v>0</v>
      </c>
      <c r="D342" s="234">
        <f t="shared" si="56"/>
        <v>0</v>
      </c>
      <c r="E342" s="234">
        <f t="shared" si="57"/>
        <v>0</v>
      </c>
      <c r="F342" s="235">
        <f t="shared" si="50"/>
        <v>0</v>
      </c>
      <c r="G342" s="133" t="e">
        <f t="shared" si="51"/>
        <v>#DIV/0!</v>
      </c>
      <c r="H342" s="236"/>
      <c r="I342" s="236"/>
      <c r="J342" s="236"/>
      <c r="K342" s="235">
        <f t="shared" si="52"/>
        <v>0</v>
      </c>
      <c r="L342" s="133" t="e">
        <f t="shared" si="53"/>
        <v>#DIV/0!</v>
      </c>
      <c r="M342" s="234"/>
      <c r="N342" s="234"/>
      <c r="O342" s="234"/>
      <c r="P342" s="235">
        <f t="shared" si="54"/>
        <v>0</v>
      </c>
      <c r="Q342" s="133" t="e">
        <f t="shared" si="55"/>
        <v>#DIV/0!</v>
      </c>
    </row>
    <row r="343" spans="1:17" s="78" customFormat="1" ht="22.5" customHeight="1" hidden="1">
      <c r="A343" s="77" t="s">
        <v>168</v>
      </c>
      <c r="B343" s="81" t="s">
        <v>458</v>
      </c>
      <c r="C343" s="234">
        <f t="shared" si="56"/>
        <v>0</v>
      </c>
      <c r="D343" s="234">
        <f t="shared" si="56"/>
        <v>0</v>
      </c>
      <c r="E343" s="234">
        <f t="shared" si="57"/>
        <v>0</v>
      </c>
      <c r="F343" s="235">
        <f t="shared" si="50"/>
        <v>0</v>
      </c>
      <c r="G343" s="133" t="e">
        <f t="shared" si="51"/>
        <v>#DIV/0!</v>
      </c>
      <c r="H343" s="236"/>
      <c r="I343" s="236"/>
      <c r="J343" s="236"/>
      <c r="K343" s="235">
        <f t="shared" si="52"/>
        <v>0</v>
      </c>
      <c r="L343" s="133" t="e">
        <f t="shared" si="53"/>
        <v>#DIV/0!</v>
      </c>
      <c r="M343" s="234"/>
      <c r="N343" s="234"/>
      <c r="O343" s="234"/>
      <c r="P343" s="235">
        <f t="shared" si="54"/>
        <v>0</v>
      </c>
      <c r="Q343" s="133" t="e">
        <f t="shared" si="55"/>
        <v>#DIV/0!</v>
      </c>
    </row>
    <row r="344" spans="1:17" s="78" customFormat="1" ht="22.5" customHeight="1" hidden="1">
      <c r="A344" s="77" t="s">
        <v>24</v>
      </c>
      <c r="B344" s="81" t="s">
        <v>459</v>
      </c>
      <c r="C344" s="234">
        <f t="shared" si="56"/>
        <v>0</v>
      </c>
      <c r="D344" s="234">
        <f t="shared" si="56"/>
        <v>0</v>
      </c>
      <c r="E344" s="234">
        <f t="shared" si="57"/>
        <v>0</v>
      </c>
      <c r="F344" s="235">
        <f t="shared" si="50"/>
        <v>0</v>
      </c>
      <c r="G344" s="133" t="e">
        <f t="shared" si="51"/>
        <v>#DIV/0!</v>
      </c>
      <c r="H344" s="236"/>
      <c r="I344" s="236"/>
      <c r="J344" s="236"/>
      <c r="K344" s="235">
        <f t="shared" si="52"/>
        <v>0</v>
      </c>
      <c r="L344" s="133" t="e">
        <f t="shared" si="53"/>
        <v>#DIV/0!</v>
      </c>
      <c r="M344" s="234"/>
      <c r="N344" s="234"/>
      <c r="O344" s="234"/>
      <c r="P344" s="235">
        <f t="shared" si="54"/>
        <v>0</v>
      </c>
      <c r="Q344" s="133" t="e">
        <f t="shared" si="55"/>
        <v>#DIV/0!</v>
      </c>
    </row>
    <row r="345" spans="1:17" s="78" customFormat="1" ht="22.5" customHeight="1">
      <c r="A345" s="77" t="s">
        <v>461</v>
      </c>
      <c r="B345" s="81" t="s">
        <v>460</v>
      </c>
      <c r="C345" s="357">
        <f t="shared" si="56"/>
        <v>0</v>
      </c>
      <c r="D345" s="234">
        <f t="shared" si="56"/>
        <v>2045</v>
      </c>
      <c r="E345" s="234">
        <f t="shared" si="57"/>
        <v>2045</v>
      </c>
      <c r="F345" s="351">
        <f t="shared" si="50"/>
        <v>0</v>
      </c>
      <c r="G345" s="133">
        <f t="shared" si="51"/>
        <v>100</v>
      </c>
      <c r="H345" s="236"/>
      <c r="I345" s="236">
        <v>2045</v>
      </c>
      <c r="J345" s="236">
        <v>2045</v>
      </c>
      <c r="K345" s="351">
        <f t="shared" si="52"/>
        <v>0</v>
      </c>
      <c r="L345" s="133">
        <f t="shared" si="53"/>
        <v>100</v>
      </c>
      <c r="M345" s="234"/>
      <c r="N345" s="234"/>
      <c r="O345" s="234"/>
      <c r="P345" s="351">
        <f t="shared" si="54"/>
        <v>0</v>
      </c>
      <c r="Q345" s="352" t="e">
        <f t="shared" si="55"/>
        <v>#DIV/0!</v>
      </c>
    </row>
    <row r="346" spans="1:17" s="78" customFormat="1" ht="22.5" customHeight="1" hidden="1">
      <c r="A346" s="77" t="s">
        <v>143</v>
      </c>
      <c r="B346" s="81" t="s">
        <v>142</v>
      </c>
      <c r="C346" s="234">
        <f t="shared" si="56"/>
        <v>0</v>
      </c>
      <c r="D346" s="234">
        <f t="shared" si="56"/>
        <v>0</v>
      </c>
      <c r="E346" s="234">
        <f t="shared" si="57"/>
        <v>0</v>
      </c>
      <c r="F346" s="235">
        <f t="shared" si="50"/>
        <v>0</v>
      </c>
      <c r="G346" s="133" t="e">
        <f t="shared" si="51"/>
        <v>#DIV/0!</v>
      </c>
      <c r="H346" s="236"/>
      <c r="I346" s="236"/>
      <c r="J346" s="236"/>
      <c r="K346" s="351">
        <f t="shared" si="52"/>
        <v>0</v>
      </c>
      <c r="L346" s="133" t="e">
        <f t="shared" si="53"/>
        <v>#DIV/0!</v>
      </c>
      <c r="M346" s="234"/>
      <c r="N346" s="234"/>
      <c r="O346" s="234"/>
      <c r="P346" s="235">
        <f t="shared" si="54"/>
        <v>0</v>
      </c>
      <c r="Q346" s="133" t="e">
        <f t="shared" si="55"/>
        <v>#DIV/0!</v>
      </c>
    </row>
    <row r="347" spans="1:17" s="78" customFormat="1" ht="22.5" customHeight="1" hidden="1">
      <c r="A347" s="77" t="s">
        <v>145</v>
      </c>
      <c r="B347" s="81" t="s">
        <v>144</v>
      </c>
      <c r="C347" s="234">
        <f t="shared" si="56"/>
        <v>0</v>
      </c>
      <c r="D347" s="234">
        <f t="shared" si="56"/>
        <v>0</v>
      </c>
      <c r="E347" s="234">
        <f t="shared" si="57"/>
        <v>0</v>
      </c>
      <c r="F347" s="235">
        <f t="shared" si="50"/>
        <v>0</v>
      </c>
      <c r="G347" s="133" t="e">
        <f t="shared" si="51"/>
        <v>#DIV/0!</v>
      </c>
      <c r="H347" s="236"/>
      <c r="I347" s="236"/>
      <c r="J347" s="236"/>
      <c r="K347" s="351">
        <f t="shared" si="52"/>
        <v>0</v>
      </c>
      <c r="L347" s="133" t="e">
        <f t="shared" si="53"/>
        <v>#DIV/0!</v>
      </c>
      <c r="M347" s="234"/>
      <c r="N347" s="234"/>
      <c r="O347" s="234"/>
      <c r="P347" s="235">
        <f t="shared" si="54"/>
        <v>0</v>
      </c>
      <c r="Q347" s="133" t="e">
        <f t="shared" si="55"/>
        <v>#DIV/0!</v>
      </c>
    </row>
    <row r="348" spans="1:17" s="78" customFormat="1" ht="22.5" customHeight="1" hidden="1">
      <c r="A348" s="77" t="s">
        <v>289</v>
      </c>
      <c r="B348" s="81" t="s">
        <v>288</v>
      </c>
      <c r="C348" s="234">
        <f t="shared" si="56"/>
        <v>0</v>
      </c>
      <c r="D348" s="234">
        <f t="shared" si="56"/>
        <v>0</v>
      </c>
      <c r="E348" s="234">
        <f t="shared" si="57"/>
        <v>0</v>
      </c>
      <c r="F348" s="235">
        <f t="shared" si="50"/>
        <v>0</v>
      </c>
      <c r="G348" s="133" t="e">
        <f t="shared" si="51"/>
        <v>#DIV/0!</v>
      </c>
      <c r="H348" s="236"/>
      <c r="I348" s="236"/>
      <c r="J348" s="236"/>
      <c r="K348" s="351">
        <f t="shared" si="52"/>
        <v>0</v>
      </c>
      <c r="L348" s="133" t="e">
        <f t="shared" si="53"/>
        <v>#DIV/0!</v>
      </c>
      <c r="M348" s="234"/>
      <c r="N348" s="234"/>
      <c r="O348" s="234"/>
      <c r="P348" s="235">
        <f t="shared" si="54"/>
        <v>0</v>
      </c>
      <c r="Q348" s="133" t="e">
        <f t="shared" si="55"/>
        <v>#DIV/0!</v>
      </c>
    </row>
    <row r="349" spans="1:17" s="78" customFormat="1" ht="22.5" customHeight="1" hidden="1">
      <c r="A349" s="77" t="s">
        <v>292</v>
      </c>
      <c r="B349" s="81" t="s">
        <v>291</v>
      </c>
      <c r="C349" s="234">
        <f t="shared" si="56"/>
        <v>0</v>
      </c>
      <c r="D349" s="234">
        <f t="shared" si="56"/>
        <v>0</v>
      </c>
      <c r="E349" s="234">
        <f t="shared" si="57"/>
        <v>0</v>
      </c>
      <c r="F349" s="235">
        <f t="shared" si="50"/>
        <v>0</v>
      </c>
      <c r="G349" s="133" t="e">
        <f t="shared" si="51"/>
        <v>#DIV/0!</v>
      </c>
      <c r="H349" s="236"/>
      <c r="I349" s="236"/>
      <c r="J349" s="236"/>
      <c r="K349" s="351">
        <f t="shared" si="52"/>
        <v>0</v>
      </c>
      <c r="L349" s="133" t="e">
        <f t="shared" si="53"/>
        <v>#DIV/0!</v>
      </c>
      <c r="M349" s="234"/>
      <c r="N349" s="234"/>
      <c r="O349" s="234"/>
      <c r="P349" s="235">
        <f t="shared" si="54"/>
        <v>0</v>
      </c>
      <c r="Q349" s="133" t="e">
        <f t="shared" si="55"/>
        <v>#DIV/0!</v>
      </c>
    </row>
    <row r="350" spans="1:17" s="78" customFormat="1" ht="22.5" customHeight="1" hidden="1">
      <c r="A350" s="77" t="s">
        <v>162</v>
      </c>
      <c r="B350" s="81" t="s">
        <v>161</v>
      </c>
      <c r="C350" s="234">
        <f t="shared" si="56"/>
        <v>0</v>
      </c>
      <c r="D350" s="234">
        <f t="shared" si="56"/>
        <v>0</v>
      </c>
      <c r="E350" s="234">
        <f t="shared" si="57"/>
        <v>0</v>
      </c>
      <c r="F350" s="235">
        <f t="shared" si="50"/>
        <v>0</v>
      </c>
      <c r="G350" s="133" t="e">
        <f t="shared" si="51"/>
        <v>#DIV/0!</v>
      </c>
      <c r="H350" s="236"/>
      <c r="I350" s="236"/>
      <c r="J350" s="236"/>
      <c r="K350" s="351">
        <f t="shared" si="52"/>
        <v>0</v>
      </c>
      <c r="L350" s="133" t="e">
        <f t="shared" si="53"/>
        <v>#DIV/0!</v>
      </c>
      <c r="M350" s="234"/>
      <c r="N350" s="234"/>
      <c r="O350" s="234"/>
      <c r="P350" s="235">
        <f t="shared" si="54"/>
        <v>0</v>
      </c>
      <c r="Q350" s="133" t="e">
        <f t="shared" si="55"/>
        <v>#DIV/0!</v>
      </c>
    </row>
    <row r="351" spans="1:17" s="78" customFormat="1" ht="22.5" customHeight="1" hidden="1">
      <c r="A351" s="77" t="s">
        <v>164</v>
      </c>
      <c r="B351" s="81" t="s">
        <v>163</v>
      </c>
      <c r="C351" s="234">
        <f t="shared" si="56"/>
        <v>0</v>
      </c>
      <c r="D351" s="234">
        <f t="shared" si="56"/>
        <v>0</v>
      </c>
      <c r="E351" s="234">
        <f t="shared" si="57"/>
        <v>0</v>
      </c>
      <c r="F351" s="235">
        <f t="shared" si="50"/>
        <v>0</v>
      </c>
      <c r="G351" s="133" t="e">
        <f t="shared" si="51"/>
        <v>#DIV/0!</v>
      </c>
      <c r="H351" s="236"/>
      <c r="I351" s="236"/>
      <c r="J351" s="236"/>
      <c r="K351" s="351">
        <f t="shared" si="52"/>
        <v>0</v>
      </c>
      <c r="L351" s="133" t="e">
        <f t="shared" si="53"/>
        <v>#DIV/0!</v>
      </c>
      <c r="M351" s="234"/>
      <c r="N351" s="234"/>
      <c r="O351" s="234"/>
      <c r="P351" s="235">
        <f t="shared" si="54"/>
        <v>0</v>
      </c>
      <c r="Q351" s="133" t="e">
        <f t="shared" si="55"/>
        <v>#DIV/0!</v>
      </c>
    </row>
    <row r="352" spans="1:17" s="78" customFormat="1" ht="22.5" customHeight="1" hidden="1">
      <c r="A352" s="77" t="s">
        <v>462</v>
      </c>
      <c r="B352" s="81" t="s">
        <v>165</v>
      </c>
      <c r="C352" s="234">
        <f t="shared" si="56"/>
        <v>0</v>
      </c>
      <c r="D352" s="234">
        <f t="shared" si="56"/>
        <v>0</v>
      </c>
      <c r="E352" s="234">
        <f t="shared" si="57"/>
        <v>0</v>
      </c>
      <c r="F352" s="235">
        <f t="shared" si="50"/>
        <v>0</v>
      </c>
      <c r="G352" s="133" t="e">
        <f t="shared" si="51"/>
        <v>#DIV/0!</v>
      </c>
      <c r="H352" s="236"/>
      <c r="I352" s="236"/>
      <c r="J352" s="236"/>
      <c r="K352" s="351">
        <f t="shared" si="52"/>
        <v>0</v>
      </c>
      <c r="L352" s="133" t="e">
        <f t="shared" si="53"/>
        <v>#DIV/0!</v>
      </c>
      <c r="M352" s="234"/>
      <c r="N352" s="234"/>
      <c r="O352" s="234"/>
      <c r="P352" s="235">
        <f t="shared" si="54"/>
        <v>0</v>
      </c>
      <c r="Q352" s="133" t="e">
        <f t="shared" si="55"/>
        <v>#DIV/0!</v>
      </c>
    </row>
    <row r="353" spans="1:17" s="78" customFormat="1" ht="22.5" customHeight="1" hidden="1">
      <c r="A353" s="77" t="s">
        <v>294</v>
      </c>
      <c r="B353" s="81" t="s">
        <v>293</v>
      </c>
      <c r="C353" s="234">
        <f t="shared" si="56"/>
        <v>0</v>
      </c>
      <c r="D353" s="234">
        <f t="shared" si="56"/>
        <v>0</v>
      </c>
      <c r="E353" s="234">
        <f t="shared" si="57"/>
        <v>0</v>
      </c>
      <c r="F353" s="235">
        <f t="shared" si="50"/>
        <v>0</v>
      </c>
      <c r="G353" s="133" t="e">
        <f t="shared" si="51"/>
        <v>#DIV/0!</v>
      </c>
      <c r="H353" s="236"/>
      <c r="I353" s="236"/>
      <c r="J353" s="236"/>
      <c r="K353" s="351">
        <f t="shared" si="52"/>
        <v>0</v>
      </c>
      <c r="L353" s="133" t="e">
        <f t="shared" si="53"/>
        <v>#DIV/0!</v>
      </c>
      <c r="M353" s="234"/>
      <c r="N353" s="234"/>
      <c r="O353" s="234"/>
      <c r="P353" s="235">
        <f t="shared" si="54"/>
        <v>0</v>
      </c>
      <c r="Q353" s="133" t="e">
        <f t="shared" si="55"/>
        <v>#DIV/0!</v>
      </c>
    </row>
    <row r="354" spans="1:17" s="78" customFormat="1" ht="22.5" customHeight="1" hidden="1">
      <c r="A354" s="77" t="s">
        <v>147</v>
      </c>
      <c r="B354" s="81" t="s">
        <v>146</v>
      </c>
      <c r="C354" s="234">
        <f t="shared" si="56"/>
        <v>0</v>
      </c>
      <c r="D354" s="234">
        <f t="shared" si="56"/>
        <v>0</v>
      </c>
      <c r="E354" s="234">
        <f t="shared" si="57"/>
        <v>0</v>
      </c>
      <c r="F354" s="235">
        <f t="shared" si="50"/>
        <v>0</v>
      </c>
      <c r="G354" s="133" t="e">
        <f t="shared" si="51"/>
        <v>#DIV/0!</v>
      </c>
      <c r="H354" s="236"/>
      <c r="I354" s="236"/>
      <c r="J354" s="236"/>
      <c r="K354" s="351">
        <f t="shared" si="52"/>
        <v>0</v>
      </c>
      <c r="L354" s="133" t="e">
        <f t="shared" si="53"/>
        <v>#DIV/0!</v>
      </c>
      <c r="M354" s="234"/>
      <c r="N354" s="234"/>
      <c r="O354" s="234"/>
      <c r="P354" s="235">
        <f t="shared" si="54"/>
        <v>0</v>
      </c>
      <c r="Q354" s="133" t="e">
        <f t="shared" si="55"/>
        <v>#DIV/0!</v>
      </c>
    </row>
    <row r="355" spans="1:17" s="78" customFormat="1" ht="22.5" customHeight="1" hidden="1">
      <c r="A355" s="77" t="s">
        <v>296</v>
      </c>
      <c r="B355" s="81" t="s">
        <v>295</v>
      </c>
      <c r="C355" s="234">
        <f t="shared" si="56"/>
        <v>0</v>
      </c>
      <c r="D355" s="234">
        <f t="shared" si="56"/>
        <v>0</v>
      </c>
      <c r="E355" s="234">
        <f t="shared" si="57"/>
        <v>0</v>
      </c>
      <c r="F355" s="235">
        <f t="shared" si="50"/>
        <v>0</v>
      </c>
      <c r="G355" s="133" t="e">
        <f t="shared" si="51"/>
        <v>#DIV/0!</v>
      </c>
      <c r="H355" s="236"/>
      <c r="I355" s="236"/>
      <c r="J355" s="236"/>
      <c r="K355" s="351">
        <f t="shared" si="52"/>
        <v>0</v>
      </c>
      <c r="L355" s="133" t="e">
        <f t="shared" si="53"/>
        <v>#DIV/0!</v>
      </c>
      <c r="M355" s="234"/>
      <c r="N355" s="234"/>
      <c r="O355" s="234"/>
      <c r="P355" s="235">
        <f t="shared" si="54"/>
        <v>0</v>
      </c>
      <c r="Q355" s="133" t="e">
        <f t="shared" si="55"/>
        <v>#DIV/0!</v>
      </c>
    </row>
    <row r="356" spans="1:17" s="78" customFormat="1" ht="22.5" customHeight="1" hidden="1">
      <c r="A356" s="77" t="s">
        <v>149</v>
      </c>
      <c r="B356" s="81" t="s">
        <v>148</v>
      </c>
      <c r="C356" s="234">
        <f t="shared" si="56"/>
        <v>0</v>
      </c>
      <c r="D356" s="234">
        <f t="shared" si="56"/>
        <v>0</v>
      </c>
      <c r="E356" s="234">
        <f t="shared" si="57"/>
        <v>0</v>
      </c>
      <c r="F356" s="235">
        <f t="shared" si="50"/>
        <v>0</v>
      </c>
      <c r="G356" s="133" t="e">
        <f t="shared" si="51"/>
        <v>#DIV/0!</v>
      </c>
      <c r="H356" s="236"/>
      <c r="I356" s="236"/>
      <c r="J356" s="236"/>
      <c r="K356" s="351">
        <f t="shared" si="52"/>
        <v>0</v>
      </c>
      <c r="L356" s="133" t="e">
        <f t="shared" si="53"/>
        <v>#DIV/0!</v>
      </c>
      <c r="M356" s="234"/>
      <c r="N356" s="234"/>
      <c r="O356" s="234"/>
      <c r="P356" s="235">
        <f t="shared" si="54"/>
        <v>0</v>
      </c>
      <c r="Q356" s="133" t="e">
        <f t="shared" si="55"/>
        <v>#DIV/0!</v>
      </c>
    </row>
    <row r="357" spans="1:17" s="78" customFormat="1" ht="22.5" customHeight="1" hidden="1">
      <c r="A357" s="77" t="s">
        <v>298</v>
      </c>
      <c r="B357" s="81" t="s">
        <v>297</v>
      </c>
      <c r="C357" s="234">
        <f t="shared" si="56"/>
        <v>0</v>
      </c>
      <c r="D357" s="234">
        <f t="shared" si="56"/>
        <v>0</v>
      </c>
      <c r="E357" s="234">
        <f t="shared" si="57"/>
        <v>0</v>
      </c>
      <c r="F357" s="235">
        <f t="shared" si="50"/>
        <v>0</v>
      </c>
      <c r="G357" s="133" t="e">
        <f t="shared" si="51"/>
        <v>#DIV/0!</v>
      </c>
      <c r="H357" s="236"/>
      <c r="I357" s="236"/>
      <c r="J357" s="236"/>
      <c r="K357" s="351">
        <f t="shared" si="52"/>
        <v>0</v>
      </c>
      <c r="L357" s="133" t="e">
        <f t="shared" si="53"/>
        <v>#DIV/0!</v>
      </c>
      <c r="M357" s="234"/>
      <c r="N357" s="234"/>
      <c r="O357" s="234"/>
      <c r="P357" s="235">
        <f t="shared" si="54"/>
        <v>0</v>
      </c>
      <c r="Q357" s="133" t="e">
        <f t="shared" si="55"/>
        <v>#DIV/0!</v>
      </c>
    </row>
    <row r="358" spans="1:17" s="78" customFormat="1" ht="22.5" customHeight="1" hidden="1">
      <c r="A358" s="77" t="s">
        <v>151</v>
      </c>
      <c r="B358" s="81" t="s">
        <v>150</v>
      </c>
      <c r="C358" s="234">
        <f t="shared" si="56"/>
        <v>0</v>
      </c>
      <c r="D358" s="234">
        <f t="shared" si="56"/>
        <v>0</v>
      </c>
      <c r="E358" s="234">
        <f t="shared" si="57"/>
        <v>0</v>
      </c>
      <c r="F358" s="235">
        <f t="shared" si="50"/>
        <v>0</v>
      </c>
      <c r="G358" s="133" t="e">
        <f t="shared" si="51"/>
        <v>#DIV/0!</v>
      </c>
      <c r="H358" s="236"/>
      <c r="I358" s="236"/>
      <c r="J358" s="236"/>
      <c r="K358" s="351">
        <f t="shared" si="52"/>
        <v>0</v>
      </c>
      <c r="L358" s="133" t="e">
        <f t="shared" si="53"/>
        <v>#DIV/0!</v>
      </c>
      <c r="M358" s="234"/>
      <c r="N358" s="234"/>
      <c r="O358" s="234"/>
      <c r="P358" s="235">
        <f t="shared" si="54"/>
        <v>0</v>
      </c>
      <c r="Q358" s="133" t="e">
        <f t="shared" si="55"/>
        <v>#DIV/0!</v>
      </c>
    </row>
    <row r="359" spans="1:17" s="78" customFormat="1" ht="22.5" customHeight="1" hidden="1">
      <c r="A359" s="77" t="s">
        <v>300</v>
      </c>
      <c r="B359" s="81" t="s">
        <v>299</v>
      </c>
      <c r="C359" s="234">
        <f t="shared" si="56"/>
        <v>0</v>
      </c>
      <c r="D359" s="234">
        <f t="shared" si="56"/>
        <v>0</v>
      </c>
      <c r="E359" s="234">
        <f t="shared" si="57"/>
        <v>0</v>
      </c>
      <c r="F359" s="235">
        <f t="shared" si="50"/>
        <v>0</v>
      </c>
      <c r="G359" s="133" t="e">
        <f t="shared" si="51"/>
        <v>#DIV/0!</v>
      </c>
      <c r="H359" s="236"/>
      <c r="I359" s="236"/>
      <c r="J359" s="236"/>
      <c r="K359" s="351">
        <f t="shared" si="52"/>
        <v>0</v>
      </c>
      <c r="L359" s="133" t="e">
        <f t="shared" si="53"/>
        <v>#DIV/0!</v>
      </c>
      <c r="M359" s="234"/>
      <c r="N359" s="234"/>
      <c r="O359" s="234"/>
      <c r="P359" s="235">
        <f t="shared" si="54"/>
        <v>0</v>
      </c>
      <c r="Q359" s="133" t="e">
        <f t="shared" si="55"/>
        <v>#DIV/0!</v>
      </c>
    </row>
    <row r="360" spans="1:17" s="78" customFormat="1" ht="22.5" customHeight="1">
      <c r="A360" s="77" t="s">
        <v>153</v>
      </c>
      <c r="B360" s="81" t="s">
        <v>152</v>
      </c>
      <c r="C360" s="234">
        <f t="shared" si="56"/>
        <v>17357731.4</v>
      </c>
      <c r="D360" s="234">
        <f t="shared" si="56"/>
        <v>17396097</v>
      </c>
      <c r="E360" s="234">
        <f t="shared" si="57"/>
        <v>17396096.900000002</v>
      </c>
      <c r="F360" s="235">
        <f t="shared" si="50"/>
        <v>-0.09999999776482582</v>
      </c>
      <c r="G360" s="133">
        <f t="shared" si="51"/>
        <v>99.99999942515842</v>
      </c>
      <c r="H360" s="236">
        <v>17357265.2</v>
      </c>
      <c r="I360" s="236">
        <v>17395348.6</v>
      </c>
      <c r="J360" s="236">
        <v>17395348.6</v>
      </c>
      <c r="K360" s="351">
        <f t="shared" si="52"/>
        <v>0</v>
      </c>
      <c r="L360" s="133">
        <f t="shared" si="53"/>
        <v>100</v>
      </c>
      <c r="M360" s="234">
        <v>466.2</v>
      </c>
      <c r="N360" s="234">
        <v>748.4</v>
      </c>
      <c r="O360" s="234">
        <v>748.3</v>
      </c>
      <c r="P360" s="235">
        <f t="shared" si="54"/>
        <v>-0.10000000000002274</v>
      </c>
      <c r="Q360" s="133">
        <f t="shared" si="55"/>
        <v>99.98663816141101</v>
      </c>
    </row>
    <row r="361" spans="1:17" s="78" customFormat="1" ht="22.5" customHeight="1">
      <c r="A361" s="77" t="s">
        <v>155</v>
      </c>
      <c r="B361" s="81" t="s">
        <v>154</v>
      </c>
      <c r="C361" s="234">
        <f t="shared" si="56"/>
        <v>8731314.7</v>
      </c>
      <c r="D361" s="234">
        <f t="shared" si="56"/>
        <v>8129775.717</v>
      </c>
      <c r="E361" s="234">
        <f t="shared" si="57"/>
        <v>7984692.381</v>
      </c>
      <c r="F361" s="235">
        <f t="shared" si="50"/>
        <v>-145083.33600000013</v>
      </c>
      <c r="G361" s="133">
        <f t="shared" si="51"/>
        <v>98.21540789007722</v>
      </c>
      <c r="H361" s="236">
        <v>8407532.2</v>
      </c>
      <c r="I361" s="236">
        <v>7637124.4</v>
      </c>
      <c r="J361" s="236">
        <v>7508080.453</v>
      </c>
      <c r="K361" s="235">
        <f t="shared" si="52"/>
        <v>-129043.94700000063</v>
      </c>
      <c r="L361" s="133">
        <f t="shared" si="53"/>
        <v>98.31030712292704</v>
      </c>
      <c r="M361" s="234">
        <v>323782.5</v>
      </c>
      <c r="N361" s="234">
        <v>492651.317</v>
      </c>
      <c r="O361" s="234">
        <v>476611.928</v>
      </c>
      <c r="P361" s="235">
        <f t="shared" si="54"/>
        <v>-16039.388999999966</v>
      </c>
      <c r="Q361" s="133">
        <f t="shared" si="55"/>
        <v>96.7442715676329</v>
      </c>
    </row>
    <row r="362" spans="1:17" s="78" customFormat="1" ht="22.5" customHeight="1" hidden="1">
      <c r="A362" s="77" t="s">
        <v>192</v>
      </c>
      <c r="B362" s="81" t="s">
        <v>156</v>
      </c>
      <c r="C362" s="234">
        <f t="shared" si="56"/>
        <v>0</v>
      </c>
      <c r="D362" s="234">
        <f t="shared" si="56"/>
        <v>0</v>
      </c>
      <c r="E362" s="234">
        <f t="shared" si="57"/>
        <v>0</v>
      </c>
      <c r="F362" s="235">
        <f t="shared" si="50"/>
        <v>0</v>
      </c>
      <c r="G362" s="133" t="e">
        <f t="shared" si="51"/>
        <v>#DIV/0!</v>
      </c>
      <c r="H362" s="236"/>
      <c r="I362" s="236"/>
      <c r="J362" s="236"/>
      <c r="K362" s="235">
        <f t="shared" si="52"/>
        <v>0</v>
      </c>
      <c r="L362" s="133" t="e">
        <f t="shared" si="53"/>
        <v>#DIV/0!</v>
      </c>
      <c r="M362" s="234"/>
      <c r="N362" s="234"/>
      <c r="O362" s="234"/>
      <c r="P362" s="235">
        <f t="shared" si="54"/>
        <v>0</v>
      </c>
      <c r="Q362" s="133" t="e">
        <f t="shared" si="55"/>
        <v>#DIV/0!</v>
      </c>
    </row>
    <row r="363" spans="1:17" s="78" customFormat="1" ht="22.5" customHeight="1" hidden="1">
      <c r="A363" s="77" t="s">
        <v>158</v>
      </c>
      <c r="B363" s="81" t="s">
        <v>157</v>
      </c>
      <c r="C363" s="234">
        <f t="shared" si="56"/>
        <v>0</v>
      </c>
      <c r="D363" s="234">
        <f t="shared" si="56"/>
        <v>0</v>
      </c>
      <c r="E363" s="234">
        <f t="shared" si="57"/>
        <v>0</v>
      </c>
      <c r="F363" s="235">
        <f t="shared" si="50"/>
        <v>0</v>
      </c>
      <c r="G363" s="133" t="e">
        <f t="shared" si="51"/>
        <v>#DIV/0!</v>
      </c>
      <c r="H363" s="236"/>
      <c r="I363" s="236"/>
      <c r="J363" s="236"/>
      <c r="K363" s="235">
        <f t="shared" si="52"/>
        <v>0</v>
      </c>
      <c r="L363" s="133" t="e">
        <f t="shared" si="53"/>
        <v>#DIV/0!</v>
      </c>
      <c r="M363" s="234"/>
      <c r="N363" s="234"/>
      <c r="O363" s="234"/>
      <c r="P363" s="235">
        <f t="shared" si="54"/>
        <v>0</v>
      </c>
      <c r="Q363" s="133" t="e">
        <f t="shared" si="55"/>
        <v>#DIV/0!</v>
      </c>
    </row>
    <row r="364" spans="1:17" s="78" customFormat="1" ht="22.5" customHeight="1" hidden="1">
      <c r="A364" s="77" t="s">
        <v>464</v>
      </c>
      <c r="B364" s="81" t="s">
        <v>463</v>
      </c>
      <c r="C364" s="234">
        <f t="shared" si="56"/>
        <v>0</v>
      </c>
      <c r="D364" s="234">
        <f t="shared" si="56"/>
        <v>0</v>
      </c>
      <c r="E364" s="234">
        <f t="shared" si="57"/>
        <v>0</v>
      </c>
      <c r="F364" s="235">
        <f t="shared" si="50"/>
        <v>0</v>
      </c>
      <c r="G364" s="133" t="e">
        <f t="shared" si="51"/>
        <v>#DIV/0!</v>
      </c>
      <c r="H364" s="236"/>
      <c r="I364" s="236"/>
      <c r="J364" s="236"/>
      <c r="K364" s="235">
        <f t="shared" si="52"/>
        <v>0</v>
      </c>
      <c r="L364" s="133" t="e">
        <f t="shared" si="53"/>
        <v>#DIV/0!</v>
      </c>
      <c r="M364" s="234"/>
      <c r="N364" s="234"/>
      <c r="O364" s="234"/>
      <c r="P364" s="235">
        <f t="shared" si="54"/>
        <v>0</v>
      </c>
      <c r="Q364" s="133" t="e">
        <f t="shared" si="55"/>
        <v>#DIV/0!</v>
      </c>
    </row>
    <row r="365" spans="1:17" s="78" customFormat="1" ht="22.5" customHeight="1" hidden="1">
      <c r="A365" s="77" t="s">
        <v>466</v>
      </c>
      <c r="B365" s="81" t="s">
        <v>465</v>
      </c>
      <c r="C365" s="234">
        <f t="shared" si="56"/>
        <v>0</v>
      </c>
      <c r="D365" s="234">
        <f t="shared" si="56"/>
        <v>0</v>
      </c>
      <c r="E365" s="234">
        <f t="shared" si="57"/>
        <v>0</v>
      </c>
      <c r="F365" s="235">
        <f t="shared" si="50"/>
        <v>0</v>
      </c>
      <c r="G365" s="133" t="e">
        <f t="shared" si="51"/>
        <v>#DIV/0!</v>
      </c>
      <c r="H365" s="236"/>
      <c r="I365" s="236"/>
      <c r="J365" s="236"/>
      <c r="K365" s="235">
        <f t="shared" si="52"/>
        <v>0</v>
      </c>
      <c r="L365" s="133" t="e">
        <f t="shared" si="53"/>
        <v>#DIV/0!</v>
      </c>
      <c r="M365" s="234"/>
      <c r="N365" s="234"/>
      <c r="O365" s="234"/>
      <c r="P365" s="235">
        <f t="shared" si="54"/>
        <v>0</v>
      </c>
      <c r="Q365" s="133" t="e">
        <f t="shared" si="55"/>
        <v>#DIV/0!</v>
      </c>
    </row>
    <row r="366" spans="1:17" s="76" customFormat="1" ht="22.5" customHeight="1">
      <c r="A366" s="75" t="s">
        <v>160</v>
      </c>
      <c r="B366" s="80" t="s">
        <v>159</v>
      </c>
      <c r="C366" s="233">
        <f>H366+M366</f>
        <v>21133.8</v>
      </c>
      <c r="D366" s="233">
        <f>I366+N366</f>
        <v>26273.28</v>
      </c>
      <c r="E366" s="233">
        <f>J366+O366</f>
        <v>10266.563</v>
      </c>
      <c r="F366" s="232">
        <f aca="true" t="shared" si="58" ref="F366:F416">E366-D366</f>
        <v>-16006.716999999999</v>
      </c>
      <c r="G366" s="82">
        <f aca="true" t="shared" si="59" ref="G366:G416">E366/D366*100</f>
        <v>39.07606130639189</v>
      </c>
      <c r="H366" s="210">
        <v>18237.8</v>
      </c>
      <c r="I366" s="210">
        <v>22764.1</v>
      </c>
      <c r="J366" s="210">
        <v>7206.828</v>
      </c>
      <c r="K366" s="232">
        <f aca="true" t="shared" si="60" ref="K366:K416">J366-I366</f>
        <v>-15557.271999999997</v>
      </c>
      <c r="L366" s="82">
        <f aca="true" t="shared" si="61" ref="L366:L416">J366/I366*100</f>
        <v>31.658743372239627</v>
      </c>
      <c r="M366" s="233">
        <v>2896</v>
      </c>
      <c r="N366" s="233">
        <v>3509.18</v>
      </c>
      <c r="O366" s="233">
        <v>3059.735</v>
      </c>
      <c r="P366" s="232">
        <f aca="true" t="shared" si="62" ref="P366:P416">O366-N366</f>
        <v>-449.4449999999997</v>
      </c>
      <c r="Q366" s="82">
        <f aca="true" t="shared" si="63" ref="Q366:Q416">O366/N366*100</f>
        <v>87.19230703469188</v>
      </c>
    </row>
    <row r="367" spans="1:17" s="78" customFormat="1" ht="22.5" customHeight="1">
      <c r="A367" s="77"/>
      <c r="B367" s="81" t="s">
        <v>159</v>
      </c>
      <c r="C367" s="234"/>
      <c r="D367" s="234"/>
      <c r="E367" s="236"/>
      <c r="F367" s="232"/>
      <c r="G367" s="82"/>
      <c r="H367" s="236"/>
      <c r="I367" s="236"/>
      <c r="J367" s="236"/>
      <c r="K367" s="232"/>
      <c r="L367" s="82"/>
      <c r="M367" s="234"/>
      <c r="N367" s="234"/>
      <c r="O367" s="234"/>
      <c r="P367" s="232"/>
      <c r="Q367" s="82"/>
    </row>
    <row r="368" spans="1:17" s="76" customFormat="1" ht="22.5" customHeight="1">
      <c r="A368" s="75" t="s">
        <v>166</v>
      </c>
      <c r="B368" s="79"/>
      <c r="C368" s="233">
        <f>C369+C412</f>
        <v>123812471.79999998</v>
      </c>
      <c r="D368" s="233">
        <f>D369+D412</f>
        <v>130593051.92699999</v>
      </c>
      <c r="E368" s="233">
        <f>E369+E412</f>
        <v>124910327.44299997</v>
      </c>
      <c r="F368" s="232">
        <f t="shared" si="58"/>
        <v>-5682724.484000012</v>
      </c>
      <c r="G368" s="82">
        <f t="shared" si="59"/>
        <v>95.64852463423813</v>
      </c>
      <c r="H368" s="233">
        <f>H369+H412</f>
        <v>114324484.89999999</v>
      </c>
      <c r="I368" s="233">
        <f>I369+I412</f>
        <v>119547751.64200002</v>
      </c>
      <c r="J368" s="233">
        <f>J369+J412</f>
        <v>114745796.67899999</v>
      </c>
      <c r="K368" s="232">
        <f t="shared" si="60"/>
        <v>-4801954.963000029</v>
      </c>
      <c r="L368" s="82">
        <f t="shared" si="61"/>
        <v>95.98323272747106</v>
      </c>
      <c r="M368" s="233">
        <f>M369+M412</f>
        <v>14756147.899999997</v>
      </c>
      <c r="N368" s="233">
        <f>N369+N412</f>
        <v>16529697.785000002</v>
      </c>
      <c r="O368" s="233">
        <f>O369+O412</f>
        <v>15621017.937000003</v>
      </c>
      <c r="P368" s="232">
        <f t="shared" si="62"/>
        <v>-908679.8479999993</v>
      </c>
      <c r="Q368" s="82">
        <f t="shared" si="63"/>
        <v>94.50274372938271</v>
      </c>
    </row>
    <row r="369" spans="1:17" s="76" customFormat="1" ht="22.5" customHeight="1">
      <c r="A369" s="75" t="s">
        <v>130</v>
      </c>
      <c r="B369" s="80"/>
      <c r="C369" s="233">
        <f>C370+C371+C372+C373+C374+C375+C376+C377+C378+C379+C380+C381+C382+C383+C384+C385+C386+C387+C388+C389+C390+C391+C392+C393+C394+C395+C396+C397+C398+C399+C400+C401+C402+C403+C404+C405+C406+C407+C408+C409+C410+C411</f>
        <v>115266439.49999999</v>
      </c>
      <c r="D369" s="233">
        <f>D370+D371+D372+D373+D374+D375+D376+D377+D378+D379+D380+D381+D382+D383+D384+D385+D386+D387+D388+D389+D390+D391+D392+D393+D394+D395+D396+D397+D398+D399+D400+D401+D402+D403+D404+D405+D406+D407+D408+D409+D410+D411</f>
        <v>118876705.33499998</v>
      </c>
      <c r="E369" s="233">
        <f>E370+E371+E372+E373+E374+E375+E376+E377+E378+E379+E380+E381+E382+E383+E384+E385+E386+E387+E388+E389+E390+E391+E392+E393+E394+E395+E396+E397+E398+E399+E400+E401+E402+E403+E404+E405+E406+E407+E408+E409+E410+E411</f>
        <v>115320142.73499997</v>
      </c>
      <c r="F369" s="232">
        <f t="shared" si="58"/>
        <v>-3556562.600000009</v>
      </c>
      <c r="G369" s="82">
        <f t="shared" si="59"/>
        <v>97.00819215171093</v>
      </c>
      <c r="H369" s="233">
        <f>H370+H371+H372+H373+H374+H375+H376+H377+H378+H379+H380+H381+H382+H383+H384+H385+H386+H387+H388+H389+H390+H391+H392+H393+H394+H395+H396+H397+H398+H399+H400+H401+H402+H403+H404+H405+H406+H407+H408+H409+H410+H411</f>
        <v>106772441.89999999</v>
      </c>
      <c r="I369" s="233">
        <f>I370+I371+I372+I373+I374+I375+I376+I377+I378+I379+I380+I381+I382+I383+I384+I385+I386+I387+I388+I389+I390+I391+I392+I393+I394+I395+I396+I397+I398+I399+I400+I401+I402+I403+I404+I405+I406+I407+I408+I409+I410+I411</f>
        <v>108936235.40600002</v>
      </c>
      <c r="J369" s="233">
        <f>J370+J371+J372+J373+J374+J375+J376+J377+J378+J379+J380+J381+J382+J383+J384+J385+J386+J387+J388+J389+J390+J391+J392+J393+J394+J395+J396+J397+J398+J399+J400+J401+J402+J403+J404+J405+J406+J407+J408+J409+J410+J411</f>
        <v>106127955.976</v>
      </c>
      <c r="K369" s="232">
        <f t="shared" si="60"/>
        <v>-2808279.430000022</v>
      </c>
      <c r="L369" s="82">
        <f t="shared" si="61"/>
        <v>97.42208878475219</v>
      </c>
      <c r="M369" s="233">
        <f>M370+M371+M372+M373+M374+M375+M376+M377+M378+M379+M380+M381+M382+M383+M384+M385+M386+M387+M388+M389+M390+M391+M392+M393+M394+M395+M396+M397+M398+M399+M400+M401+M402+M403+M404+M405+M406+M407+M408+M409+M410+M411</f>
        <v>13762158.599999996</v>
      </c>
      <c r="N369" s="233">
        <f>N370+N371+N372+N373+N374+N375+N376+N377+N378+N379+N380+N381+N382+N383+N384+N385+N386+N387+N388+N389+N390+N391+N392+N393+N394+N395+N396+N397+N398+N399+N400+N401+N402+N403+N404+N405+N406+N407+N408+N409+N410+N411</f>
        <v>15424867.429000001</v>
      </c>
      <c r="O369" s="233">
        <f>O370+O371+O372+O373+O374+O375+O376+O377+O378+O379+O380+O381+O382+O383+O384+O385+O386+O387+O388+O389+O390+O391+O392+O393+O394+O395+O396+O397+O398+O399+O400+O401+O402+O403+O404+O405+O406+O407+O408+O409+O410+O411</f>
        <v>14648673.932000002</v>
      </c>
      <c r="P369" s="232">
        <f t="shared" si="62"/>
        <v>-776193.4969999995</v>
      </c>
      <c r="Q369" s="82">
        <f t="shared" si="63"/>
        <v>94.96790814849602</v>
      </c>
    </row>
    <row r="370" spans="1:17" s="78" customFormat="1" ht="22.5" customHeight="1">
      <c r="A370" s="77" t="s">
        <v>132</v>
      </c>
      <c r="B370" s="81" t="s">
        <v>131</v>
      </c>
      <c r="C370" s="234">
        <f>H370+M370</f>
        <v>40955896.8</v>
      </c>
      <c r="D370" s="234">
        <f>I370+N370</f>
        <v>41731946.416999996</v>
      </c>
      <c r="E370" s="234">
        <f>J370+O370</f>
        <v>41112311.72799999</v>
      </c>
      <c r="F370" s="235">
        <f t="shared" si="58"/>
        <v>-619634.689000003</v>
      </c>
      <c r="G370" s="133">
        <f t="shared" si="59"/>
        <v>98.51520299866102</v>
      </c>
      <c r="H370" s="236">
        <f>H6+3085037.5+6934531.7+H53+H98+H143+H188+H234+H279+H325</f>
        <v>36533357.9</v>
      </c>
      <c r="I370" s="236">
        <f>I6+3576681.8+6864205.75+I53+I98+I143+I188+I234+I279+I325</f>
        <v>36888995.007</v>
      </c>
      <c r="J370" s="236">
        <f>J6+3564524.6+6722494.1+J53+J98+J143+J188+J234+J279+J325</f>
        <v>36321232.92699999</v>
      </c>
      <c r="K370" s="235">
        <f t="shared" si="60"/>
        <v>-567762.0800000057</v>
      </c>
      <c r="L370" s="133">
        <f t="shared" si="61"/>
        <v>98.46089035526106</v>
      </c>
      <c r="M370" s="236">
        <f>M6+15598+260+M53+M98+M143+M188+M234+M279+M325</f>
        <v>4422538.899999999</v>
      </c>
      <c r="N370" s="236">
        <f>N6+15357.5+113+N53+N98+N143+N188+N234+N279+N325</f>
        <v>4842951.41</v>
      </c>
      <c r="O370" s="236">
        <f>O6+14151.9+113+O53+O98+O143+O188+O234+O279+O325</f>
        <v>4791078.801</v>
      </c>
      <c r="P370" s="235">
        <f t="shared" si="62"/>
        <v>-51872.60900000017</v>
      </c>
      <c r="Q370" s="133">
        <f t="shared" si="63"/>
        <v>98.92890502900998</v>
      </c>
    </row>
    <row r="371" spans="1:17" s="78" customFormat="1" ht="22.5" customHeight="1">
      <c r="A371" s="77" t="s">
        <v>134</v>
      </c>
      <c r="B371" s="81" t="s">
        <v>133</v>
      </c>
      <c r="C371" s="234">
        <f aca="true" t="shared" si="64" ref="C371:D411">H371+M371</f>
        <v>5448784.2</v>
      </c>
      <c r="D371" s="234">
        <f t="shared" si="64"/>
        <v>5477644.166999999</v>
      </c>
      <c r="E371" s="234">
        <f>J371+O371</f>
        <v>5366079.575999999</v>
      </c>
      <c r="F371" s="235">
        <f t="shared" si="58"/>
        <v>-111564.59100000001</v>
      </c>
      <c r="G371" s="133">
        <f t="shared" si="59"/>
        <v>97.963274217918</v>
      </c>
      <c r="H371" s="236">
        <f>H7+80199.1+222520.5+H54+H99+H144+H189+H235+H280+H326</f>
        <v>4726817.4</v>
      </c>
      <c r="I371" s="236">
        <f>I7+99207.6+209339.5+I54+I99+I144+I189+I235+I280+I326</f>
        <v>4689542.373</v>
      </c>
      <c r="J371" s="236">
        <f>J7+99143.4+206880.9+J54+J99+J144+J189+J235+J280+J326</f>
        <v>4591726.569999999</v>
      </c>
      <c r="K371" s="235">
        <f t="shared" si="60"/>
        <v>-97815.8030000003</v>
      </c>
      <c r="L371" s="133">
        <f t="shared" si="61"/>
        <v>97.9141716777489</v>
      </c>
      <c r="M371" s="236">
        <f>M7+2447.4+44.9+M54+M99+M144+M189+M235+M280+M326</f>
        <v>721966.7999999999</v>
      </c>
      <c r="N371" s="236">
        <f>N7+2441.4+19.65+N54+N99+N144+N189+N235+N280+N326</f>
        <v>788101.794</v>
      </c>
      <c r="O371" s="236">
        <f>O7+2234.5+9.8+O54+O99+O144+O189+O235+O280+O326</f>
        <v>774353.0059999999</v>
      </c>
      <c r="P371" s="235">
        <f t="shared" si="62"/>
        <v>-13748.788000000059</v>
      </c>
      <c r="Q371" s="133">
        <f t="shared" si="63"/>
        <v>98.25545530987586</v>
      </c>
    </row>
    <row r="372" spans="1:17" s="78" customFormat="1" ht="22.5" customHeight="1">
      <c r="A372" s="77" t="s">
        <v>136</v>
      </c>
      <c r="B372" s="81" t="s">
        <v>135</v>
      </c>
      <c r="C372" s="234">
        <f t="shared" si="64"/>
        <v>901675.1999999998</v>
      </c>
      <c r="D372" s="234">
        <f t="shared" si="64"/>
        <v>1122307.304</v>
      </c>
      <c r="E372" s="234">
        <f>J372+O372</f>
        <v>1052847.513</v>
      </c>
      <c r="F372" s="235">
        <f t="shared" si="58"/>
        <v>-69459.79099999997</v>
      </c>
      <c r="G372" s="133">
        <f t="shared" si="59"/>
        <v>93.81098289635652</v>
      </c>
      <c r="H372" s="236">
        <f>H8+44736.2+142825.3+H55+H100+H145+H190+H236+H281+H327</f>
        <v>711662.9999999999</v>
      </c>
      <c r="I372" s="236">
        <f>I8+72625.6+157360.7+I55+I100+I145+I190+I236+I281+I327</f>
        <v>907898.015</v>
      </c>
      <c r="J372" s="236">
        <f>J8+72095.1+150641.9+J55+J100+J145+J190+J236+J281+J327</f>
        <v>852014.196</v>
      </c>
      <c r="K372" s="235">
        <f t="shared" si="60"/>
        <v>-55883.81900000002</v>
      </c>
      <c r="L372" s="133">
        <f t="shared" si="61"/>
        <v>93.84470303087951</v>
      </c>
      <c r="M372" s="236">
        <f>M8+209.8+M55+M100+M145+M190+M236+M281+M327</f>
        <v>190012.19999999998</v>
      </c>
      <c r="N372" s="236">
        <f>N8+224.65+N55+N100+N145+N190+N236+N281+N327</f>
        <v>214409.28900000002</v>
      </c>
      <c r="O372" s="236">
        <f>O8+208.4+O55+O100+O145+O190+O236+O281+O327</f>
        <v>200833.31699999998</v>
      </c>
      <c r="P372" s="235">
        <f t="shared" si="62"/>
        <v>-13575.972000000038</v>
      </c>
      <c r="Q372" s="133">
        <f t="shared" si="63"/>
        <v>93.66819783633534</v>
      </c>
    </row>
    <row r="373" spans="1:17" s="78" customFormat="1" ht="22.5" customHeight="1">
      <c r="A373" s="77" t="s">
        <v>443</v>
      </c>
      <c r="B373" s="81" t="s">
        <v>137</v>
      </c>
      <c r="C373" s="234">
        <f t="shared" si="64"/>
        <v>1069896.8</v>
      </c>
      <c r="D373" s="234">
        <f t="shared" si="64"/>
        <v>1128981.121</v>
      </c>
      <c r="E373" s="234">
        <f>J373+O373</f>
        <v>1076315.961</v>
      </c>
      <c r="F373" s="235">
        <f t="shared" si="58"/>
        <v>-52665.16000000015</v>
      </c>
      <c r="G373" s="133">
        <f t="shared" si="59"/>
        <v>95.33516025907043</v>
      </c>
      <c r="H373" s="236">
        <f>H9+29681.9+100703.8+H56+H101+H146+H191+H237+H282+H328</f>
        <v>1017012.4</v>
      </c>
      <c r="I373" s="236">
        <f>I9+31602.6+102986.5+I56+I101+I146+I191+I237+I282+I328</f>
        <v>1077421.308</v>
      </c>
      <c r="J373" s="236">
        <f>J9+31533+100492.5+J56+J101+J146+J191+J237+J282+J328</f>
        <v>1032559.294</v>
      </c>
      <c r="K373" s="235">
        <f t="shared" si="60"/>
        <v>-44862.01399999997</v>
      </c>
      <c r="L373" s="133">
        <f t="shared" si="61"/>
        <v>95.83616792550013</v>
      </c>
      <c r="M373" s="236">
        <f>M9+1601+16.4+M56+M101+M146+M191+M237+M282+M328</f>
        <v>52884.4</v>
      </c>
      <c r="N373" s="236">
        <f>N9+1643.6+16.4+N56+N101+N146+N191+N237+N282+N328</f>
        <v>51559.813</v>
      </c>
      <c r="O373" s="236">
        <f>O9+1591.9+16.45+O56+O101+O146+O191+O237+O282+O328</f>
        <v>43756.66700000001</v>
      </c>
      <c r="P373" s="235">
        <f t="shared" si="62"/>
        <v>-7803.145999999993</v>
      </c>
      <c r="Q373" s="133">
        <f t="shared" si="63"/>
        <v>84.86583727524382</v>
      </c>
    </row>
    <row r="374" spans="1:17" s="78" customFormat="1" ht="22.5" customHeight="1">
      <c r="A374" s="77" t="s">
        <v>9</v>
      </c>
      <c r="B374" s="81" t="s">
        <v>138</v>
      </c>
      <c r="C374" s="234">
        <f t="shared" si="64"/>
        <v>396802.39999999997</v>
      </c>
      <c r="D374" s="234">
        <f t="shared" si="64"/>
        <v>403886.3</v>
      </c>
      <c r="E374" s="234">
        <f aca="true" t="shared" si="65" ref="E374:E411">J374+O374</f>
        <v>393223.654</v>
      </c>
      <c r="F374" s="235">
        <f t="shared" si="58"/>
        <v>-10662.646000000008</v>
      </c>
      <c r="G374" s="133">
        <f t="shared" si="59"/>
        <v>97.35998819469737</v>
      </c>
      <c r="H374" s="236">
        <f>H10+3221.3+24998.3+H57+H102+H147+H192+H238+H283+H329</f>
        <v>385926.89999999997</v>
      </c>
      <c r="I374" s="236">
        <f>I10+4550.8+26273.5+I57+I102+I147+I192+I238+I283+I329</f>
        <v>391312.7</v>
      </c>
      <c r="J374" s="236">
        <f>J10+4545.8+24165.3+J57+J102+J147+J192+J238+J283+J329</f>
        <v>381376.478</v>
      </c>
      <c r="K374" s="235">
        <f t="shared" si="60"/>
        <v>-9936.222000000009</v>
      </c>
      <c r="L374" s="133">
        <f t="shared" si="61"/>
        <v>97.46079746453412</v>
      </c>
      <c r="M374" s="236">
        <f>M10+M57+M102+M147+M192+M238+M283+M329</f>
        <v>10875.499999999998</v>
      </c>
      <c r="N374" s="236">
        <f>N10+N57+N102+N147+N192+N238+N283+N329</f>
        <v>12573.6</v>
      </c>
      <c r="O374" s="236">
        <f>O10+O57+O102+O147+O192+O238+O283+O329</f>
        <v>11847.176000000001</v>
      </c>
      <c r="P374" s="235">
        <f t="shared" si="62"/>
        <v>-726.4239999999991</v>
      </c>
      <c r="Q374" s="133">
        <f t="shared" si="63"/>
        <v>94.22262518292295</v>
      </c>
    </row>
    <row r="375" spans="1:17" s="78" customFormat="1" ht="22.5" customHeight="1">
      <c r="A375" s="77" t="s">
        <v>140</v>
      </c>
      <c r="B375" s="81" t="s">
        <v>139</v>
      </c>
      <c r="C375" s="234">
        <f t="shared" si="64"/>
        <v>1005406.7000000001</v>
      </c>
      <c r="D375" s="234">
        <f t="shared" si="64"/>
        <v>1168831.536</v>
      </c>
      <c r="E375" s="234">
        <f t="shared" si="65"/>
        <v>1108187.804</v>
      </c>
      <c r="F375" s="235">
        <f t="shared" si="58"/>
        <v>-60643.73200000008</v>
      </c>
      <c r="G375" s="133">
        <f t="shared" si="59"/>
        <v>94.81159344762922</v>
      </c>
      <c r="H375" s="236">
        <f>H11+188758.3+210949.3+H58+H103+H148+H193+H239+H284+H330</f>
        <v>759199.8</v>
      </c>
      <c r="I375" s="236">
        <f>I11+256808.8+212296.6+I58+I103+I148+I193+I239+I284+I330</f>
        <v>902057.24</v>
      </c>
      <c r="J375" s="236">
        <f>J11+247633.1+208376.44+J58+J103+J148+J193+J239+J284+J330</f>
        <v>861032.88</v>
      </c>
      <c r="K375" s="235">
        <f t="shared" si="60"/>
        <v>-41024.359999999986</v>
      </c>
      <c r="L375" s="133">
        <f t="shared" si="61"/>
        <v>95.45213339233328</v>
      </c>
      <c r="M375" s="236">
        <f>M11+2031.3+252.1+M58+M103+M148+M193+M239+M284+M330</f>
        <v>246206.90000000005</v>
      </c>
      <c r="N375" s="236">
        <f>N11+5352.9+235.75+N58+N103+N148+N193+N239+N284+N330</f>
        <v>266774.29600000003</v>
      </c>
      <c r="O375" s="236">
        <f>O11+4481.9+179.2+O58+O103+O148+O193+O239+O284+O330</f>
        <v>247154.92399999997</v>
      </c>
      <c r="P375" s="235">
        <f t="shared" si="62"/>
        <v>-19619.37200000006</v>
      </c>
      <c r="Q375" s="133">
        <f t="shared" si="63"/>
        <v>92.64570376750237</v>
      </c>
    </row>
    <row r="376" spans="1:17" s="78" customFormat="1" ht="22.5" customHeight="1">
      <c r="A376" s="77" t="s">
        <v>444</v>
      </c>
      <c r="B376" s="81" t="s">
        <v>141</v>
      </c>
      <c r="C376" s="234">
        <f t="shared" si="64"/>
        <v>6473080.9</v>
      </c>
      <c r="D376" s="234">
        <f t="shared" si="64"/>
        <v>5621126.3780000005</v>
      </c>
      <c r="E376" s="234">
        <f t="shared" si="65"/>
        <v>4890322.044</v>
      </c>
      <c r="F376" s="235">
        <f t="shared" si="58"/>
        <v>-730804.3340000007</v>
      </c>
      <c r="G376" s="133">
        <f t="shared" si="59"/>
        <v>86.9989698708745</v>
      </c>
      <c r="H376" s="236">
        <f>H12+487308.7+282685.1+H59+H104+H149+H194+H240+H285+H331</f>
        <v>5055288.2</v>
      </c>
      <c r="I376" s="236">
        <f>I12+348618.1+355002.3+I59+I104+I149+I194+I240+I285+I331</f>
        <v>3858902.9530000007</v>
      </c>
      <c r="J376" s="236">
        <f>J12+343434.7+337804.45+J59+J104+J149+J194+J240+J285+J331</f>
        <v>3373946.7279999997</v>
      </c>
      <c r="K376" s="235">
        <f t="shared" si="60"/>
        <v>-484956.225000001</v>
      </c>
      <c r="L376" s="133">
        <f t="shared" si="61"/>
        <v>87.43279551451315</v>
      </c>
      <c r="M376" s="236">
        <f>M12+9639.2+468.7+M59+M104+M149+M194+M240+M285+M331</f>
        <v>1417792.7</v>
      </c>
      <c r="N376" s="236">
        <f>N12+9069+3654.65+N59+N104+N149+N194+N240+N285+N331</f>
        <v>1762223.425</v>
      </c>
      <c r="O376" s="236">
        <f>O12+7592.45+3619.7+O59+O104+O149+O194+O240+O285+O331</f>
        <v>1516375.3159999999</v>
      </c>
      <c r="P376" s="235">
        <f t="shared" si="62"/>
        <v>-245848.10900000017</v>
      </c>
      <c r="Q376" s="133">
        <f t="shared" si="63"/>
        <v>86.04898189910283</v>
      </c>
    </row>
    <row r="377" spans="1:17" s="78" customFormat="1" ht="22.5" customHeight="1">
      <c r="A377" s="77" t="s">
        <v>290</v>
      </c>
      <c r="B377" s="81" t="s">
        <v>285</v>
      </c>
      <c r="C377" s="234">
        <f t="shared" si="64"/>
        <v>9324180.3</v>
      </c>
      <c r="D377" s="234">
        <f t="shared" si="64"/>
        <v>12763329.9</v>
      </c>
      <c r="E377" s="234">
        <f t="shared" si="65"/>
        <v>12285582.542</v>
      </c>
      <c r="F377" s="235">
        <f t="shared" si="58"/>
        <v>-477747.35800000094</v>
      </c>
      <c r="G377" s="133">
        <f t="shared" si="59"/>
        <v>96.25687526889044</v>
      </c>
      <c r="H377" s="236">
        <f>H13+H60+H105+H150+H195+H241+H286+H332</f>
        <v>9324180.3</v>
      </c>
      <c r="I377" s="236">
        <f>I13+I60+I105+I150+I195+I241+I286+I332</f>
        <v>12763329.9</v>
      </c>
      <c r="J377" s="236">
        <f>J13+J60+J105+J150+J195+J241+J286+J332</f>
        <v>12285582.542</v>
      </c>
      <c r="K377" s="235">
        <f t="shared" si="60"/>
        <v>-477747.35800000094</v>
      </c>
      <c r="L377" s="133">
        <f t="shared" si="61"/>
        <v>96.25687526889044</v>
      </c>
      <c r="M377" s="356">
        <f>M13+M60+M105+M150+M195+M241+M286+M332</f>
        <v>0</v>
      </c>
      <c r="N377" s="356">
        <f>N13+N60+N105+N150+N195+N241+N286+N332</f>
        <v>0</v>
      </c>
      <c r="O377" s="356">
        <f>O13+O60+O105+O150+O195+O241+O286+O332</f>
        <v>0</v>
      </c>
      <c r="P377" s="351">
        <f t="shared" si="62"/>
        <v>0</v>
      </c>
      <c r="Q377" s="352" t="e">
        <f t="shared" si="63"/>
        <v>#DIV/0!</v>
      </c>
    </row>
    <row r="378" spans="1:17" s="78" customFormat="1" ht="22.5" customHeight="1">
      <c r="A378" s="77" t="s">
        <v>519</v>
      </c>
      <c r="B378" s="81" t="s">
        <v>286</v>
      </c>
      <c r="C378" s="234">
        <f t="shared" si="64"/>
        <v>766462.7</v>
      </c>
      <c r="D378" s="234">
        <f t="shared" si="64"/>
        <v>913319.9</v>
      </c>
      <c r="E378" s="234">
        <f t="shared" si="65"/>
        <v>798209.0709999999</v>
      </c>
      <c r="F378" s="235">
        <f t="shared" si="58"/>
        <v>-115110.82900000014</v>
      </c>
      <c r="G378" s="133">
        <f t="shared" si="59"/>
        <v>87.39643918850338</v>
      </c>
      <c r="H378" s="236">
        <f>H14+8900+11479.4+H61+H106+H151+H196+H242+H287+H333</f>
        <v>760328.1</v>
      </c>
      <c r="I378" s="236">
        <f>I14+8845.8+11040+I61+I106+I151+I196+I242+I287+I333</f>
        <v>907513.2000000001</v>
      </c>
      <c r="J378" s="236">
        <f>J14+8836+9622.65+J61+J106+J151+J196+J242+J287+J333</f>
        <v>793406.1889999999</v>
      </c>
      <c r="K378" s="235">
        <f t="shared" si="60"/>
        <v>-114107.01100000017</v>
      </c>
      <c r="L378" s="133">
        <f t="shared" si="61"/>
        <v>87.42640757181272</v>
      </c>
      <c r="M378" s="236">
        <f>M14+125+M61+M106+M151+M196+M242+M287+M333</f>
        <v>6134.6</v>
      </c>
      <c r="N378" s="236">
        <f>N14+125+N61+N106+N151+N196+N242+N287+N333</f>
        <v>5806.7</v>
      </c>
      <c r="O378" s="236">
        <f>O14+80+O61+O106+O151+O196+O242+O287+O333</f>
        <v>4802.882</v>
      </c>
      <c r="P378" s="235">
        <f t="shared" si="62"/>
        <v>-1003.8180000000002</v>
      </c>
      <c r="Q378" s="133">
        <f t="shared" si="63"/>
        <v>82.71276284292283</v>
      </c>
    </row>
    <row r="379" spans="1:17" s="78" customFormat="1" ht="22.5" customHeight="1">
      <c r="A379" s="77" t="s">
        <v>169</v>
      </c>
      <c r="B379" s="81" t="s">
        <v>287</v>
      </c>
      <c r="C379" s="234">
        <f t="shared" si="64"/>
        <v>3102355.2</v>
      </c>
      <c r="D379" s="234">
        <f t="shared" si="64"/>
        <v>3287374.6149999993</v>
      </c>
      <c r="E379" s="234">
        <f t="shared" si="65"/>
        <v>3179697.628</v>
      </c>
      <c r="F379" s="235">
        <f t="shared" si="58"/>
        <v>-107676.98699999927</v>
      </c>
      <c r="G379" s="133">
        <f t="shared" si="59"/>
        <v>96.72452946163548</v>
      </c>
      <c r="H379" s="236">
        <f>H15+648030.1+600714.8+H62+H107+H152+H197+H243+H288+H334</f>
        <v>2317249.1</v>
      </c>
      <c r="I379" s="236">
        <f>I15+621459.35+751902.9+I62+I107+I152+I197+I243+I288+I334</f>
        <v>2491762.3099999996</v>
      </c>
      <c r="J379" s="236">
        <f>J15+615368.7+745342.75+J62+J107+J152+J197+J243+J288+J334</f>
        <v>2425772.409</v>
      </c>
      <c r="K379" s="235">
        <f t="shared" si="60"/>
        <v>-65989.9009999996</v>
      </c>
      <c r="L379" s="133">
        <f t="shared" si="61"/>
        <v>97.35167753620931</v>
      </c>
      <c r="M379" s="236">
        <f>M15+273+M62+M107+M152+M197+M243+M288+M334</f>
        <v>785106.1</v>
      </c>
      <c r="N379" s="236">
        <f>N15+1324.4+N62+N107+N152+N197+N243+N288+N334</f>
        <v>795612.3049999999</v>
      </c>
      <c r="O379" s="236">
        <f>O15+1006.8+O62+O107+O152+O197+O243+O288+O334</f>
        <v>753925.219</v>
      </c>
      <c r="P379" s="235">
        <f t="shared" si="62"/>
        <v>-41687.085999999894</v>
      </c>
      <c r="Q379" s="133">
        <f t="shared" si="63"/>
        <v>94.76037691498502</v>
      </c>
    </row>
    <row r="380" spans="1:17" s="78" customFormat="1" ht="22.5" customHeight="1">
      <c r="A380" s="77" t="s">
        <v>574</v>
      </c>
      <c r="B380" s="81" t="s">
        <v>575</v>
      </c>
      <c r="C380" s="234">
        <f>H380+M380</f>
        <v>726154.7</v>
      </c>
      <c r="D380" s="234">
        <f>I380+N380</f>
        <v>728890.1</v>
      </c>
      <c r="E380" s="234">
        <f>J380+O380</f>
        <v>703106.413</v>
      </c>
      <c r="F380" s="235">
        <f>E380-D380</f>
        <v>-25783.687000000034</v>
      </c>
      <c r="G380" s="133">
        <f>E380/D380*100</f>
        <v>96.46260979535872</v>
      </c>
      <c r="H380" s="236">
        <f>H289</f>
        <v>726154.7</v>
      </c>
      <c r="I380" s="236">
        <f>I289</f>
        <v>728890.1</v>
      </c>
      <c r="J380" s="236">
        <f>J289</f>
        <v>703106.413</v>
      </c>
      <c r="K380" s="235">
        <f>J380-I380</f>
        <v>-25783.687000000034</v>
      </c>
      <c r="L380" s="133">
        <f>J380/I380*100</f>
        <v>96.46260979535872</v>
      </c>
      <c r="M380" s="356">
        <f>M289</f>
        <v>0</v>
      </c>
      <c r="N380" s="356">
        <f>N289</f>
        <v>0</v>
      </c>
      <c r="O380" s="356">
        <f>O289</f>
        <v>0</v>
      </c>
      <c r="P380" s="351">
        <f>O380-N380</f>
        <v>0</v>
      </c>
      <c r="Q380" s="352" t="e">
        <f>O380/N380*100</f>
        <v>#DIV/0!</v>
      </c>
    </row>
    <row r="381" spans="1:17" s="78" customFormat="1" ht="22.5" customHeight="1">
      <c r="A381" s="77" t="s">
        <v>446</v>
      </c>
      <c r="B381" s="81" t="s">
        <v>445</v>
      </c>
      <c r="C381" s="234">
        <f t="shared" si="64"/>
        <v>876485.7000000002</v>
      </c>
      <c r="D381" s="234">
        <f t="shared" si="64"/>
        <v>965407.3860000002</v>
      </c>
      <c r="E381" s="234">
        <f t="shared" si="65"/>
        <v>844738.2839999999</v>
      </c>
      <c r="F381" s="235">
        <f t="shared" si="58"/>
        <v>-120669.1020000003</v>
      </c>
      <c r="G381" s="133">
        <f t="shared" si="59"/>
        <v>87.50070656699945</v>
      </c>
      <c r="H381" s="236">
        <f>H16+31700+61556.4+H63+H108+H153+H198+H244+H290+H335</f>
        <v>367452.10000000003</v>
      </c>
      <c r="I381" s="236">
        <f>I16+35832.1+67008.6+I63+I108+I153+I198+I244+I290+I335</f>
        <v>291163.2</v>
      </c>
      <c r="J381" s="236">
        <f>J16+34807.8+59185.25+J63+J108+J153+J198+J244+J290+J335</f>
        <v>258085.61899999998</v>
      </c>
      <c r="K381" s="235">
        <f t="shared" si="60"/>
        <v>-33077.581000000035</v>
      </c>
      <c r="L381" s="133">
        <f t="shared" si="61"/>
        <v>88.63950492369914</v>
      </c>
      <c r="M381" s="236">
        <f>M16+388+3085+M63+M108+M153+M198+M244+M290+M335</f>
        <v>509033.6000000001</v>
      </c>
      <c r="N381" s="236">
        <f>N16+508.9+3993.8+N63+N108+N153+N198+N244+N290+N335</f>
        <v>674244.1860000001</v>
      </c>
      <c r="O381" s="236">
        <f>O16+295.5+3770.5+O63+O108+O153+O198+O244+O290+O335</f>
        <v>586652.6649999999</v>
      </c>
      <c r="P381" s="235">
        <f t="shared" si="62"/>
        <v>-87591.52100000018</v>
      </c>
      <c r="Q381" s="133">
        <f t="shared" si="63"/>
        <v>87.00893195391971</v>
      </c>
    </row>
    <row r="382" spans="1:17" s="78" customFormat="1" ht="22.5" customHeight="1">
      <c r="A382" s="77" t="s">
        <v>448</v>
      </c>
      <c r="B382" s="81" t="s">
        <v>447</v>
      </c>
      <c r="C382" s="234">
        <f t="shared" si="64"/>
        <v>890352.3999999999</v>
      </c>
      <c r="D382" s="234">
        <f t="shared" si="64"/>
        <v>962947.798</v>
      </c>
      <c r="E382" s="234">
        <f t="shared" si="65"/>
        <v>846054.6880000001</v>
      </c>
      <c r="F382" s="235">
        <f t="shared" si="58"/>
        <v>-116893.10999999987</v>
      </c>
      <c r="G382" s="133">
        <f t="shared" si="59"/>
        <v>87.86090894617739</v>
      </c>
      <c r="H382" s="236">
        <f>H17+75573.9+95684.6+H64+H109+H154+H199+H245+H291+H336</f>
        <v>549075.7</v>
      </c>
      <c r="I382" s="236">
        <f>I17+79339.6+102247.7+I64+I109+I154+I199+I245+I291+I336</f>
        <v>533033.238</v>
      </c>
      <c r="J382" s="236">
        <f>J17+71353.4+97952.5+J64+J109+J154+J199+J245+J291+J336</f>
        <v>476644.66099999996</v>
      </c>
      <c r="K382" s="235">
        <f t="shared" si="60"/>
        <v>-56388.57700000005</v>
      </c>
      <c r="L382" s="133">
        <f t="shared" si="61"/>
        <v>89.42118934054164</v>
      </c>
      <c r="M382" s="236">
        <f>M17+1247.6+90.5+M64+M109+M154+M199+M245+M291+M336</f>
        <v>341276.7</v>
      </c>
      <c r="N382" s="236">
        <f>N17+2646.3+90.5+N64+N109+N154+N199+N245+N291+N336</f>
        <v>429914.55999999994</v>
      </c>
      <c r="O382" s="236">
        <f>O17+2195.5+71.55+O64+O109+O154+O199+O245+O291+O336</f>
        <v>369410.02700000006</v>
      </c>
      <c r="P382" s="235">
        <f t="shared" si="62"/>
        <v>-60504.53299999988</v>
      </c>
      <c r="Q382" s="133">
        <f t="shared" si="63"/>
        <v>85.9263819769212</v>
      </c>
    </row>
    <row r="383" spans="1:17" s="78" customFormat="1" ht="22.5" customHeight="1">
      <c r="A383" s="77" t="s">
        <v>170</v>
      </c>
      <c r="B383" s="81" t="s">
        <v>449</v>
      </c>
      <c r="C383" s="234">
        <f t="shared" si="64"/>
        <v>219252.5</v>
      </c>
      <c r="D383" s="234">
        <f t="shared" si="64"/>
        <v>244843.06</v>
      </c>
      <c r="E383" s="234">
        <f t="shared" si="65"/>
        <v>234641.071</v>
      </c>
      <c r="F383" s="235">
        <f t="shared" si="58"/>
        <v>-10201.989000000001</v>
      </c>
      <c r="G383" s="133">
        <f t="shared" si="59"/>
        <v>95.83325375855047</v>
      </c>
      <c r="H383" s="236">
        <f>H18+98822.5+83148.3+H65+H110+H155+H200+H246+H292+H337</f>
        <v>208022.5</v>
      </c>
      <c r="I383" s="236">
        <f>I18+122898.1+78141.3+I65+I110+I155+I200+I246+I292+I337</f>
        <v>232461.9</v>
      </c>
      <c r="J383" s="236">
        <f>J18+119962.6+73743.4+J65+J110+J155+J200+J246+J292+J337</f>
        <v>223868.387</v>
      </c>
      <c r="K383" s="235">
        <f t="shared" si="60"/>
        <v>-8593.513000000006</v>
      </c>
      <c r="L383" s="133">
        <f t="shared" si="61"/>
        <v>96.30325958791526</v>
      </c>
      <c r="M383" s="236">
        <f>M18+202+M65+M110+M155+M200+M246+M292+M337</f>
        <v>11230</v>
      </c>
      <c r="N383" s="236">
        <f>N18+476.7+N65+N110+N155+N200+N246+N292+N337</f>
        <v>12381.16</v>
      </c>
      <c r="O383" s="236">
        <f>O18+470.15+O65+O110+O155+O200+O246+O292+O337</f>
        <v>10772.684</v>
      </c>
      <c r="P383" s="235">
        <f t="shared" si="62"/>
        <v>-1608.4760000000006</v>
      </c>
      <c r="Q383" s="133">
        <f t="shared" si="63"/>
        <v>87.00868093135054</v>
      </c>
    </row>
    <row r="384" spans="1:17" s="78" customFormat="1" ht="22.5" customHeight="1">
      <c r="A384" s="77" t="s">
        <v>451</v>
      </c>
      <c r="B384" s="81" t="s">
        <v>450</v>
      </c>
      <c r="C384" s="234">
        <f t="shared" si="64"/>
        <v>466716.30000000005</v>
      </c>
      <c r="D384" s="234">
        <f t="shared" si="64"/>
        <v>476860.155</v>
      </c>
      <c r="E384" s="234">
        <f t="shared" si="65"/>
        <v>442276.787</v>
      </c>
      <c r="F384" s="235">
        <f t="shared" si="58"/>
        <v>-34583.36800000002</v>
      </c>
      <c r="G384" s="133">
        <f t="shared" si="59"/>
        <v>92.74769182591906</v>
      </c>
      <c r="H384" s="236">
        <f>H19+65868.4+40601.1+H66+H111+H156+H201+H247+H293+H338</f>
        <v>154166.5</v>
      </c>
      <c r="I384" s="236">
        <f>I19+66332.1+35995.2+I66+I111+I156+I201+I247+I293+I338</f>
        <v>153734.00000000003</v>
      </c>
      <c r="J384" s="236">
        <f>J19+62523.95+30043+J66+J111+J156+J201+J247+J293+J338</f>
        <v>140716.165</v>
      </c>
      <c r="K384" s="235">
        <f t="shared" si="60"/>
        <v>-13017.835000000021</v>
      </c>
      <c r="L384" s="133">
        <f t="shared" si="61"/>
        <v>91.53223424876734</v>
      </c>
      <c r="M384" s="236">
        <f>M19+138+M66+M111+M156+M201+M247+M293+M338</f>
        <v>312549.80000000005</v>
      </c>
      <c r="N384" s="236">
        <f>N19+98+N66+N111+N156+N201+N247+N293+N338</f>
        <v>323126.155</v>
      </c>
      <c r="O384" s="236">
        <f>O19+93+O66+O111+O156+O201+O247+O293+O338</f>
        <v>301560.62200000003</v>
      </c>
      <c r="P384" s="235">
        <f t="shared" si="62"/>
        <v>-21565.532999999996</v>
      </c>
      <c r="Q384" s="133">
        <f t="shared" si="63"/>
        <v>93.32597109014588</v>
      </c>
    </row>
    <row r="385" spans="1:17" s="78" customFormat="1" ht="22.5" customHeight="1">
      <c r="A385" s="77" t="s">
        <v>453</v>
      </c>
      <c r="B385" s="81" t="s">
        <v>452</v>
      </c>
      <c r="C385" s="234">
        <f t="shared" si="64"/>
        <v>182292.6</v>
      </c>
      <c r="D385" s="234">
        <f t="shared" si="64"/>
        <v>167670.737</v>
      </c>
      <c r="E385" s="234">
        <f t="shared" si="65"/>
        <v>160521.024</v>
      </c>
      <c r="F385" s="235">
        <f t="shared" si="58"/>
        <v>-7149.712999999989</v>
      </c>
      <c r="G385" s="133">
        <f t="shared" si="59"/>
        <v>95.73586117176787</v>
      </c>
      <c r="H385" s="236">
        <f>H20+27432.8+H67+H112+H157+H202+H248+H294+H339</f>
        <v>160844.6</v>
      </c>
      <c r="I385" s="236">
        <f>I20+22668.2+I67+I112+I157+I202+I248+I294+I339</f>
        <v>147416.937</v>
      </c>
      <c r="J385" s="236">
        <f>J20+22324.8+J67+J112+J157+J202+J248+J294+J339</f>
        <v>140962.233</v>
      </c>
      <c r="K385" s="235">
        <f t="shared" si="60"/>
        <v>-6454.703999999998</v>
      </c>
      <c r="L385" s="133">
        <f t="shared" si="61"/>
        <v>95.62146376708397</v>
      </c>
      <c r="M385" s="236">
        <f aca="true" t="shared" si="66" ref="M385:O386">M20+M67+M112+M157+M202+M248+M294+M339</f>
        <v>21448</v>
      </c>
      <c r="N385" s="236">
        <f t="shared" si="66"/>
        <v>20253.8</v>
      </c>
      <c r="O385" s="236">
        <f>O20+O67+O112+O157+O202+O248+O294+O339-0.05</f>
        <v>19558.791</v>
      </c>
      <c r="P385" s="235">
        <f t="shared" si="62"/>
        <v>-695.0089999999982</v>
      </c>
      <c r="Q385" s="133">
        <f t="shared" si="63"/>
        <v>96.56850072578975</v>
      </c>
    </row>
    <row r="386" spans="1:17" s="78" customFormat="1" ht="22.5" customHeight="1">
      <c r="A386" s="77" t="s">
        <v>455</v>
      </c>
      <c r="B386" s="81" t="s">
        <v>454</v>
      </c>
      <c r="C386" s="234">
        <f t="shared" si="64"/>
        <v>149659.7</v>
      </c>
      <c r="D386" s="234">
        <f t="shared" si="64"/>
        <v>111504.1</v>
      </c>
      <c r="E386" s="234">
        <f t="shared" si="65"/>
        <v>105829.149</v>
      </c>
      <c r="F386" s="235">
        <f t="shared" si="58"/>
        <v>-5674.951000000001</v>
      </c>
      <c r="G386" s="133">
        <f t="shared" si="59"/>
        <v>94.9105449934128</v>
      </c>
      <c r="H386" s="236">
        <f>H21+H68+H113+H158+H203+H249+H295+H340</f>
        <v>149659.7</v>
      </c>
      <c r="I386" s="236">
        <f>I21+I68+I113+I158+I203+I249+I295+I340</f>
        <v>111504.1</v>
      </c>
      <c r="J386" s="236">
        <f>J21+J68+J113+J158+J203+J249+J295+J340</f>
        <v>105829.149</v>
      </c>
      <c r="K386" s="235">
        <f t="shared" si="60"/>
        <v>-5674.951000000001</v>
      </c>
      <c r="L386" s="133">
        <f t="shared" si="61"/>
        <v>94.9105449934128</v>
      </c>
      <c r="M386" s="356">
        <f t="shared" si="66"/>
        <v>0</v>
      </c>
      <c r="N386" s="356">
        <f t="shared" si="66"/>
        <v>0</v>
      </c>
      <c r="O386" s="356">
        <f t="shared" si="66"/>
        <v>0</v>
      </c>
      <c r="P386" s="351">
        <f t="shared" si="62"/>
        <v>0</v>
      </c>
      <c r="Q386" s="352" t="e">
        <f t="shared" si="63"/>
        <v>#DIV/0!</v>
      </c>
    </row>
    <row r="387" spans="1:17" s="78" customFormat="1" ht="22.5" customHeight="1">
      <c r="A387" s="77" t="s">
        <v>543</v>
      </c>
      <c r="B387" s="81" t="s">
        <v>456</v>
      </c>
      <c r="C387" s="234">
        <f t="shared" si="64"/>
        <v>2666958.2</v>
      </c>
      <c r="D387" s="234">
        <f t="shared" si="64"/>
        <v>2852757.841</v>
      </c>
      <c r="E387" s="234">
        <f t="shared" si="65"/>
        <v>2691769.721</v>
      </c>
      <c r="F387" s="235">
        <f t="shared" si="58"/>
        <v>-160988.1200000001</v>
      </c>
      <c r="G387" s="133">
        <f t="shared" si="59"/>
        <v>94.35675479754119</v>
      </c>
      <c r="H387" s="236">
        <f>H22+164751.8+279041+H69+H114+H159+H204+H250+H296+H341</f>
        <v>1190501</v>
      </c>
      <c r="I387" s="236">
        <f>I22+227353.11+332869.8+I69+I114+I159+I204+I250+I296+I341</f>
        <v>1372955.165</v>
      </c>
      <c r="J387" s="236">
        <f>J22+226759.7+330156.6+J69+J114+J159+J204+J250+J296+J341</f>
        <v>1322318.581</v>
      </c>
      <c r="K387" s="235">
        <f t="shared" si="60"/>
        <v>-50636.58400000003</v>
      </c>
      <c r="L387" s="133">
        <f t="shared" si="61"/>
        <v>96.31185450983027</v>
      </c>
      <c r="M387" s="236">
        <f>M22+4465.7+M69+M114+M159+M204+M250+M296+M341</f>
        <v>1476457.2000000002</v>
      </c>
      <c r="N387" s="236">
        <f>N22+4765.6+N69+N114+N159+N204+N250+N296+N341</f>
        <v>1479802.676</v>
      </c>
      <c r="O387" s="236">
        <f>O22+4219.5+O69+O114+O159+O204+O250+O296+O341</f>
        <v>1369451.1400000001</v>
      </c>
      <c r="P387" s="235">
        <f t="shared" si="62"/>
        <v>-110351.53599999985</v>
      </c>
      <c r="Q387" s="133">
        <f t="shared" si="63"/>
        <v>92.54282089161462</v>
      </c>
    </row>
    <row r="388" spans="1:17" s="78" customFormat="1" ht="22.5" customHeight="1" hidden="1">
      <c r="A388" s="77" t="s">
        <v>167</v>
      </c>
      <c r="B388" s="81" t="s">
        <v>457</v>
      </c>
      <c r="C388" s="234">
        <f t="shared" si="64"/>
        <v>0</v>
      </c>
      <c r="D388" s="234">
        <f t="shared" si="64"/>
        <v>0</v>
      </c>
      <c r="E388" s="234">
        <f t="shared" si="65"/>
        <v>0</v>
      </c>
      <c r="F388" s="235">
        <f t="shared" si="58"/>
        <v>0</v>
      </c>
      <c r="G388" s="133" t="e">
        <f t="shared" si="59"/>
        <v>#DIV/0!</v>
      </c>
      <c r="H388" s="236">
        <f aca="true" t="shared" si="67" ref="H388:J390">H23+H70+H115+H160+H205+H251+H297+H342</f>
        <v>0</v>
      </c>
      <c r="I388" s="236">
        <f t="shared" si="67"/>
        <v>0</v>
      </c>
      <c r="J388" s="236">
        <f t="shared" si="67"/>
        <v>0</v>
      </c>
      <c r="K388" s="235">
        <f t="shared" si="60"/>
        <v>0</v>
      </c>
      <c r="L388" s="133" t="e">
        <f t="shared" si="61"/>
        <v>#DIV/0!</v>
      </c>
      <c r="M388" s="236">
        <f aca="true" t="shared" si="68" ref="M388:O395">M23+M70+M115+M160+M205+M251+M297+M342</f>
        <v>0</v>
      </c>
      <c r="N388" s="236">
        <f t="shared" si="68"/>
        <v>0</v>
      </c>
      <c r="O388" s="236">
        <f t="shared" si="68"/>
        <v>0</v>
      </c>
      <c r="P388" s="235">
        <f t="shared" si="62"/>
        <v>0</v>
      </c>
      <c r="Q388" s="133" t="e">
        <f t="shared" si="63"/>
        <v>#DIV/0!</v>
      </c>
    </row>
    <row r="389" spans="1:17" s="78" customFormat="1" ht="22.5" customHeight="1" hidden="1">
      <c r="A389" s="77" t="s">
        <v>168</v>
      </c>
      <c r="B389" s="81" t="s">
        <v>458</v>
      </c>
      <c r="C389" s="234">
        <f t="shared" si="64"/>
        <v>0</v>
      </c>
      <c r="D389" s="234">
        <f t="shared" si="64"/>
        <v>0</v>
      </c>
      <c r="E389" s="234">
        <f t="shared" si="65"/>
        <v>0</v>
      </c>
      <c r="F389" s="235">
        <f t="shared" si="58"/>
        <v>0</v>
      </c>
      <c r="G389" s="133" t="e">
        <f t="shared" si="59"/>
        <v>#DIV/0!</v>
      </c>
      <c r="H389" s="236">
        <f t="shared" si="67"/>
        <v>0</v>
      </c>
      <c r="I389" s="236">
        <f t="shared" si="67"/>
        <v>0</v>
      </c>
      <c r="J389" s="236">
        <f t="shared" si="67"/>
        <v>0</v>
      </c>
      <c r="K389" s="235">
        <f t="shared" si="60"/>
        <v>0</v>
      </c>
      <c r="L389" s="133" t="e">
        <f t="shared" si="61"/>
        <v>#DIV/0!</v>
      </c>
      <c r="M389" s="236">
        <f t="shared" si="68"/>
        <v>0</v>
      </c>
      <c r="N389" s="236">
        <f t="shared" si="68"/>
        <v>0</v>
      </c>
      <c r="O389" s="236">
        <f t="shared" si="68"/>
        <v>0</v>
      </c>
      <c r="P389" s="235">
        <f t="shared" si="62"/>
        <v>0</v>
      </c>
      <c r="Q389" s="133" t="e">
        <f t="shared" si="63"/>
        <v>#DIV/0!</v>
      </c>
    </row>
    <row r="390" spans="1:17" s="78" customFormat="1" ht="22.5" customHeight="1" hidden="1">
      <c r="A390" s="77" t="s">
        <v>24</v>
      </c>
      <c r="B390" s="81" t="s">
        <v>459</v>
      </c>
      <c r="C390" s="234">
        <f t="shared" si="64"/>
        <v>0</v>
      </c>
      <c r="D390" s="234">
        <f t="shared" si="64"/>
        <v>0</v>
      </c>
      <c r="E390" s="234">
        <f t="shared" si="65"/>
        <v>0</v>
      </c>
      <c r="F390" s="235">
        <f t="shared" si="58"/>
        <v>0</v>
      </c>
      <c r="G390" s="133" t="e">
        <f t="shared" si="59"/>
        <v>#DIV/0!</v>
      </c>
      <c r="H390" s="236">
        <f t="shared" si="67"/>
        <v>0</v>
      </c>
      <c r="I390" s="236">
        <f t="shared" si="67"/>
        <v>0</v>
      </c>
      <c r="J390" s="236">
        <f t="shared" si="67"/>
        <v>0</v>
      </c>
      <c r="K390" s="235">
        <f t="shared" si="60"/>
        <v>0</v>
      </c>
      <c r="L390" s="133" t="e">
        <f t="shared" si="61"/>
        <v>#DIV/0!</v>
      </c>
      <c r="M390" s="236">
        <f t="shared" si="68"/>
        <v>0</v>
      </c>
      <c r="N390" s="236">
        <f t="shared" si="68"/>
        <v>0</v>
      </c>
      <c r="O390" s="236">
        <f t="shared" si="68"/>
        <v>0</v>
      </c>
      <c r="P390" s="235">
        <f t="shared" si="62"/>
        <v>0</v>
      </c>
      <c r="Q390" s="133" t="e">
        <f t="shared" si="63"/>
        <v>#DIV/0!</v>
      </c>
    </row>
    <row r="391" spans="1:17" s="78" customFormat="1" ht="22.5" customHeight="1">
      <c r="A391" s="77" t="s">
        <v>461</v>
      </c>
      <c r="B391" s="81" t="s">
        <v>460</v>
      </c>
      <c r="C391" s="234">
        <f t="shared" si="64"/>
        <v>3566.5000000000005</v>
      </c>
      <c r="D391" s="234">
        <f t="shared" si="64"/>
        <v>15059.599999999999</v>
      </c>
      <c r="E391" s="234">
        <f t="shared" si="65"/>
        <v>14794.404</v>
      </c>
      <c r="F391" s="235">
        <f t="shared" si="58"/>
        <v>-265.1959999999981</v>
      </c>
      <c r="G391" s="133">
        <f t="shared" si="59"/>
        <v>98.23902361284497</v>
      </c>
      <c r="H391" s="236">
        <f>H26+122+H73+H118+H163+H208+H254+H300+H345</f>
        <v>3391.1000000000004</v>
      </c>
      <c r="I391" s="236">
        <f>I26+120+I73+I118+I163+I208+I254+I300+I345</f>
        <v>14884.8</v>
      </c>
      <c r="J391" s="236">
        <f>J26+57.75+J73+J118+J163+J208+J254+J300+J345</f>
        <v>14622.504</v>
      </c>
      <c r="K391" s="235">
        <f t="shared" si="60"/>
        <v>-262.29599999999846</v>
      </c>
      <c r="L391" s="133">
        <f t="shared" si="61"/>
        <v>98.2378265075782</v>
      </c>
      <c r="M391" s="236">
        <f t="shared" si="68"/>
        <v>175.4</v>
      </c>
      <c r="N391" s="236">
        <f t="shared" si="68"/>
        <v>174.8</v>
      </c>
      <c r="O391" s="236">
        <f t="shared" si="68"/>
        <v>171.9</v>
      </c>
      <c r="P391" s="235">
        <f t="shared" si="62"/>
        <v>-2.9000000000000057</v>
      </c>
      <c r="Q391" s="133">
        <f t="shared" si="63"/>
        <v>98.34096109839817</v>
      </c>
    </row>
    <row r="392" spans="1:17" s="78" customFormat="1" ht="22.5" customHeight="1">
      <c r="A392" s="77" t="s">
        <v>143</v>
      </c>
      <c r="B392" s="81" t="s">
        <v>142</v>
      </c>
      <c r="C392" s="234">
        <f t="shared" si="64"/>
        <v>4090211.9</v>
      </c>
      <c r="D392" s="234">
        <f t="shared" si="64"/>
        <v>3596177.56</v>
      </c>
      <c r="E392" s="234">
        <f t="shared" si="65"/>
        <v>3527725.787</v>
      </c>
      <c r="F392" s="235">
        <f t="shared" si="58"/>
        <v>-68451.77300000004</v>
      </c>
      <c r="G392" s="133">
        <f t="shared" si="59"/>
        <v>98.0965407892707</v>
      </c>
      <c r="H392" s="236">
        <f aca="true" t="shared" si="69" ref="H392:J401">H27+H74+H119+H164+H209+H255+H301+H346</f>
        <v>4040611.9</v>
      </c>
      <c r="I392" s="236">
        <f t="shared" si="69"/>
        <v>3538177.56</v>
      </c>
      <c r="J392" s="236">
        <f t="shared" si="69"/>
        <v>3469725.787</v>
      </c>
      <c r="K392" s="235">
        <f t="shared" si="60"/>
        <v>-68451.77300000004</v>
      </c>
      <c r="L392" s="133">
        <f t="shared" si="61"/>
        <v>98.06533810586939</v>
      </c>
      <c r="M392" s="236">
        <f t="shared" si="68"/>
        <v>49600</v>
      </c>
      <c r="N392" s="236">
        <f t="shared" si="68"/>
        <v>58000</v>
      </c>
      <c r="O392" s="236">
        <f t="shared" si="68"/>
        <v>58000</v>
      </c>
      <c r="P392" s="351">
        <f t="shared" si="62"/>
        <v>0</v>
      </c>
      <c r="Q392" s="133">
        <f t="shared" si="63"/>
        <v>100</v>
      </c>
    </row>
    <row r="393" spans="1:17" s="78" customFormat="1" ht="22.5" customHeight="1">
      <c r="A393" s="77" t="s">
        <v>145</v>
      </c>
      <c r="B393" s="81" t="s">
        <v>144</v>
      </c>
      <c r="C393" s="234">
        <f t="shared" si="64"/>
        <v>2186674.1</v>
      </c>
      <c r="D393" s="234">
        <f t="shared" si="64"/>
        <v>2397486.7</v>
      </c>
      <c r="E393" s="234">
        <f t="shared" si="65"/>
        <v>2397471.724</v>
      </c>
      <c r="F393" s="235">
        <f t="shared" si="58"/>
        <v>-14.976000000257045</v>
      </c>
      <c r="G393" s="133">
        <f t="shared" si="59"/>
        <v>99.99937534585696</v>
      </c>
      <c r="H393" s="236">
        <f t="shared" si="69"/>
        <v>2186674.1</v>
      </c>
      <c r="I393" s="236">
        <f t="shared" si="69"/>
        <v>2397486.7</v>
      </c>
      <c r="J393" s="236">
        <f t="shared" si="69"/>
        <v>2397471.724</v>
      </c>
      <c r="K393" s="235">
        <f t="shared" si="60"/>
        <v>-14.976000000257045</v>
      </c>
      <c r="L393" s="133">
        <f t="shared" si="61"/>
        <v>99.99937534585696</v>
      </c>
      <c r="M393" s="356">
        <f t="shared" si="68"/>
        <v>0</v>
      </c>
      <c r="N393" s="356">
        <f t="shared" si="68"/>
        <v>0</v>
      </c>
      <c r="O393" s="356">
        <f t="shared" si="68"/>
        <v>0</v>
      </c>
      <c r="P393" s="351">
        <f t="shared" si="62"/>
        <v>0</v>
      </c>
      <c r="Q393" s="352" t="e">
        <f t="shared" si="63"/>
        <v>#DIV/0!</v>
      </c>
    </row>
    <row r="394" spans="1:17" s="78" customFormat="1" ht="22.5" customHeight="1">
      <c r="A394" s="77" t="s">
        <v>289</v>
      </c>
      <c r="B394" s="81" t="s">
        <v>288</v>
      </c>
      <c r="C394" s="234">
        <f t="shared" si="64"/>
        <v>530</v>
      </c>
      <c r="D394" s="234">
        <f t="shared" si="64"/>
        <v>77.9</v>
      </c>
      <c r="E394" s="234">
        <f t="shared" si="65"/>
        <v>2.945</v>
      </c>
      <c r="F394" s="235">
        <f t="shared" si="58"/>
        <v>-74.95500000000001</v>
      </c>
      <c r="G394" s="133">
        <f t="shared" si="59"/>
        <v>3.780487804878048</v>
      </c>
      <c r="H394" s="236">
        <f t="shared" si="69"/>
        <v>530</v>
      </c>
      <c r="I394" s="236">
        <f t="shared" si="69"/>
        <v>77.9</v>
      </c>
      <c r="J394" s="236">
        <f t="shared" si="69"/>
        <v>2.945</v>
      </c>
      <c r="K394" s="235">
        <f t="shared" si="60"/>
        <v>-74.95500000000001</v>
      </c>
      <c r="L394" s="352">
        <f t="shared" si="61"/>
        <v>3.780487804878048</v>
      </c>
      <c r="M394" s="356">
        <f t="shared" si="68"/>
        <v>0</v>
      </c>
      <c r="N394" s="356">
        <f t="shared" si="68"/>
        <v>0</v>
      </c>
      <c r="O394" s="356">
        <f t="shared" si="68"/>
        <v>0</v>
      </c>
      <c r="P394" s="351">
        <f t="shared" si="62"/>
        <v>0</v>
      </c>
      <c r="Q394" s="352" t="e">
        <f t="shared" si="63"/>
        <v>#DIV/0!</v>
      </c>
    </row>
    <row r="395" spans="1:17" s="78" customFormat="1" ht="22.5" customHeight="1">
      <c r="A395" s="77" t="s">
        <v>292</v>
      </c>
      <c r="B395" s="81" t="s">
        <v>291</v>
      </c>
      <c r="C395" s="357">
        <f t="shared" si="64"/>
        <v>0</v>
      </c>
      <c r="D395" s="234">
        <f t="shared" si="64"/>
        <v>926.2</v>
      </c>
      <c r="E395" s="234">
        <f t="shared" si="65"/>
        <v>926.2</v>
      </c>
      <c r="F395" s="351">
        <f t="shared" si="58"/>
        <v>0</v>
      </c>
      <c r="G395" s="133">
        <f t="shared" si="59"/>
        <v>100</v>
      </c>
      <c r="H395" s="356">
        <f t="shared" si="69"/>
        <v>0</v>
      </c>
      <c r="I395" s="356">
        <f t="shared" si="69"/>
        <v>0</v>
      </c>
      <c r="J395" s="356">
        <f t="shared" si="69"/>
        <v>0</v>
      </c>
      <c r="K395" s="351">
        <f t="shared" si="60"/>
        <v>0</v>
      </c>
      <c r="L395" s="352" t="e">
        <f t="shared" si="61"/>
        <v>#DIV/0!</v>
      </c>
      <c r="M395" s="356">
        <f t="shared" si="68"/>
        <v>0</v>
      </c>
      <c r="N395" s="236">
        <f t="shared" si="68"/>
        <v>926.2</v>
      </c>
      <c r="O395" s="236">
        <f t="shared" si="68"/>
        <v>926.2</v>
      </c>
      <c r="P395" s="351">
        <f t="shared" si="62"/>
        <v>0</v>
      </c>
      <c r="Q395" s="133">
        <f t="shared" si="63"/>
        <v>100</v>
      </c>
    </row>
    <row r="396" spans="1:17" s="78" customFormat="1" ht="22.5" customHeight="1">
      <c r="A396" s="77" t="s">
        <v>162</v>
      </c>
      <c r="B396" s="81" t="s">
        <v>161</v>
      </c>
      <c r="C396" s="234">
        <f t="shared" si="64"/>
        <v>4091766.5</v>
      </c>
      <c r="D396" s="234">
        <f t="shared" si="64"/>
        <v>4338465.317</v>
      </c>
      <c r="E396" s="234">
        <f t="shared" si="65"/>
        <v>4296911.323</v>
      </c>
      <c r="F396" s="235">
        <f t="shared" si="58"/>
        <v>-41553.99399999995</v>
      </c>
      <c r="G396" s="133">
        <f t="shared" si="59"/>
        <v>99.0421960079484</v>
      </c>
      <c r="H396" s="236">
        <f t="shared" si="69"/>
        <v>1417723.4</v>
      </c>
      <c r="I396" s="236">
        <f t="shared" si="69"/>
        <v>1342556.7</v>
      </c>
      <c r="J396" s="236">
        <f t="shared" si="69"/>
        <v>1342556.7</v>
      </c>
      <c r="K396" s="351">
        <f t="shared" si="60"/>
        <v>0</v>
      </c>
      <c r="L396" s="133">
        <f t="shared" si="61"/>
        <v>100</v>
      </c>
      <c r="M396" s="236">
        <f>M31+M78+M123+M168+M213+M259+M305+M350+32000</f>
        <v>2674043.1</v>
      </c>
      <c r="N396" s="236">
        <f>N31+N78+N123+N168+N213+N259+N305+N350+32125</f>
        <v>2995908.617</v>
      </c>
      <c r="O396" s="236">
        <f>O31+O78+O123+O168+O213+O259+O305+O350+30867.4</f>
        <v>2954354.623</v>
      </c>
      <c r="P396" s="235">
        <f t="shared" si="62"/>
        <v>-41553.99399999995</v>
      </c>
      <c r="Q396" s="133">
        <f t="shared" si="63"/>
        <v>98.61297525017267</v>
      </c>
    </row>
    <row r="397" spans="1:17" s="78" customFormat="1" ht="22.5" customHeight="1">
      <c r="A397" s="77" t="s">
        <v>164</v>
      </c>
      <c r="B397" s="81" t="s">
        <v>163</v>
      </c>
      <c r="C397" s="234">
        <f t="shared" si="64"/>
        <v>719960.7999999999</v>
      </c>
      <c r="D397" s="234">
        <f t="shared" si="64"/>
        <v>1428693.3</v>
      </c>
      <c r="E397" s="234">
        <f t="shared" si="65"/>
        <v>1039400.057</v>
      </c>
      <c r="F397" s="235">
        <f t="shared" si="58"/>
        <v>-389293.243</v>
      </c>
      <c r="G397" s="133">
        <f t="shared" si="59"/>
        <v>72.75179753415236</v>
      </c>
      <c r="H397" s="236">
        <f t="shared" si="69"/>
        <v>702643.6</v>
      </c>
      <c r="I397" s="236">
        <f t="shared" si="69"/>
        <v>1404643.6</v>
      </c>
      <c r="J397" s="236">
        <f t="shared" si="69"/>
        <v>1015823.045</v>
      </c>
      <c r="K397" s="235">
        <f t="shared" si="60"/>
        <v>-388820.55500000005</v>
      </c>
      <c r="L397" s="133">
        <f t="shared" si="61"/>
        <v>72.31891741079373</v>
      </c>
      <c r="M397" s="236">
        <f aca="true" t="shared" si="70" ref="M397:O405">M32+M79+M124+M169+M214+M260+M306+M351</f>
        <v>17317.2</v>
      </c>
      <c r="N397" s="236">
        <f t="shared" si="70"/>
        <v>24049.7</v>
      </c>
      <c r="O397" s="236">
        <f t="shared" si="70"/>
        <v>23577.012</v>
      </c>
      <c r="P397" s="235">
        <f t="shared" si="62"/>
        <v>-472.6880000000019</v>
      </c>
      <c r="Q397" s="133">
        <f t="shared" si="63"/>
        <v>98.03453681334902</v>
      </c>
    </row>
    <row r="398" spans="1:17" s="78" customFormat="1" ht="22.5" customHeight="1">
      <c r="A398" s="77" t="s">
        <v>462</v>
      </c>
      <c r="B398" s="81" t="s">
        <v>165</v>
      </c>
      <c r="C398" s="234">
        <f t="shared" si="64"/>
        <v>12000</v>
      </c>
      <c r="D398" s="234">
        <f t="shared" si="64"/>
        <v>12000</v>
      </c>
      <c r="E398" s="234">
        <f t="shared" si="65"/>
        <v>10961.8</v>
      </c>
      <c r="F398" s="235">
        <f t="shared" si="58"/>
        <v>-1038.2000000000007</v>
      </c>
      <c r="G398" s="133">
        <f t="shared" si="59"/>
        <v>91.34833333333333</v>
      </c>
      <c r="H398" s="356">
        <f t="shared" si="69"/>
        <v>0</v>
      </c>
      <c r="I398" s="356">
        <f t="shared" si="69"/>
        <v>0</v>
      </c>
      <c r="J398" s="356">
        <f t="shared" si="69"/>
        <v>0</v>
      </c>
      <c r="K398" s="351">
        <f t="shared" si="60"/>
        <v>0</v>
      </c>
      <c r="L398" s="352" t="e">
        <f t="shared" si="61"/>
        <v>#DIV/0!</v>
      </c>
      <c r="M398" s="236">
        <f t="shared" si="70"/>
        <v>12000</v>
      </c>
      <c r="N398" s="236">
        <f t="shared" si="70"/>
        <v>12000</v>
      </c>
      <c r="O398" s="236">
        <f t="shared" si="70"/>
        <v>10961.8</v>
      </c>
      <c r="P398" s="235">
        <f t="shared" si="62"/>
        <v>-1038.2000000000007</v>
      </c>
      <c r="Q398" s="133">
        <f t="shared" si="63"/>
        <v>91.34833333333333</v>
      </c>
    </row>
    <row r="399" spans="1:17" s="78" customFormat="1" ht="22.5" customHeight="1">
      <c r="A399" s="77" t="s">
        <v>294</v>
      </c>
      <c r="B399" s="81" t="s">
        <v>293</v>
      </c>
      <c r="C399" s="357">
        <f t="shared" si="64"/>
        <v>0</v>
      </c>
      <c r="D399" s="234">
        <f t="shared" si="64"/>
        <v>460</v>
      </c>
      <c r="E399" s="234">
        <f t="shared" si="65"/>
        <v>460</v>
      </c>
      <c r="F399" s="351">
        <f t="shared" si="58"/>
        <v>0</v>
      </c>
      <c r="G399" s="133">
        <f t="shared" si="59"/>
        <v>100</v>
      </c>
      <c r="H399" s="356">
        <f t="shared" si="69"/>
        <v>0</v>
      </c>
      <c r="I399" s="356">
        <f t="shared" si="69"/>
        <v>0</v>
      </c>
      <c r="J399" s="356">
        <f t="shared" si="69"/>
        <v>0</v>
      </c>
      <c r="K399" s="351">
        <f t="shared" si="60"/>
        <v>0</v>
      </c>
      <c r="L399" s="352" t="e">
        <f t="shared" si="61"/>
        <v>#DIV/0!</v>
      </c>
      <c r="M399" s="356">
        <f t="shared" si="70"/>
        <v>0</v>
      </c>
      <c r="N399" s="236">
        <f t="shared" si="70"/>
        <v>460</v>
      </c>
      <c r="O399" s="236">
        <f t="shared" si="70"/>
        <v>460</v>
      </c>
      <c r="P399" s="351">
        <f t="shared" si="62"/>
        <v>0</v>
      </c>
      <c r="Q399" s="133">
        <f t="shared" si="63"/>
        <v>100</v>
      </c>
    </row>
    <row r="400" spans="1:17" s="78" customFormat="1" ht="22.5" customHeight="1" hidden="1">
      <c r="A400" s="77" t="s">
        <v>147</v>
      </c>
      <c r="B400" s="81" t="s">
        <v>146</v>
      </c>
      <c r="C400" s="234">
        <f t="shared" si="64"/>
        <v>0</v>
      </c>
      <c r="D400" s="234">
        <f t="shared" si="64"/>
        <v>0</v>
      </c>
      <c r="E400" s="234">
        <f t="shared" si="65"/>
        <v>0</v>
      </c>
      <c r="F400" s="235">
        <f t="shared" si="58"/>
        <v>0</v>
      </c>
      <c r="G400" s="133" t="e">
        <f t="shared" si="59"/>
        <v>#DIV/0!</v>
      </c>
      <c r="H400" s="236">
        <f t="shared" si="69"/>
        <v>0</v>
      </c>
      <c r="I400" s="236">
        <f t="shared" si="69"/>
        <v>0</v>
      </c>
      <c r="J400" s="236">
        <f t="shared" si="69"/>
        <v>0</v>
      </c>
      <c r="K400" s="235">
        <f t="shared" si="60"/>
        <v>0</v>
      </c>
      <c r="L400" s="133" t="e">
        <f t="shared" si="61"/>
        <v>#DIV/0!</v>
      </c>
      <c r="M400" s="236">
        <f t="shared" si="70"/>
        <v>0</v>
      </c>
      <c r="N400" s="236">
        <f t="shared" si="70"/>
        <v>0</v>
      </c>
      <c r="O400" s="236">
        <f t="shared" si="70"/>
        <v>0</v>
      </c>
      <c r="P400" s="235">
        <f t="shared" si="62"/>
        <v>0</v>
      </c>
      <c r="Q400" s="133" t="e">
        <f t="shared" si="63"/>
        <v>#DIV/0!</v>
      </c>
    </row>
    <row r="401" spans="1:17" s="78" customFormat="1" ht="22.5" customHeight="1" hidden="1">
      <c r="A401" s="77" t="s">
        <v>296</v>
      </c>
      <c r="B401" s="81" t="s">
        <v>295</v>
      </c>
      <c r="C401" s="234">
        <f t="shared" si="64"/>
        <v>0</v>
      </c>
      <c r="D401" s="234">
        <f t="shared" si="64"/>
        <v>0</v>
      </c>
      <c r="E401" s="234">
        <f t="shared" si="65"/>
        <v>0</v>
      </c>
      <c r="F401" s="235">
        <f t="shared" si="58"/>
        <v>0</v>
      </c>
      <c r="G401" s="133" t="e">
        <f t="shared" si="59"/>
        <v>#DIV/0!</v>
      </c>
      <c r="H401" s="236">
        <f t="shared" si="69"/>
        <v>0</v>
      </c>
      <c r="I401" s="236">
        <f t="shared" si="69"/>
        <v>0</v>
      </c>
      <c r="J401" s="236">
        <f t="shared" si="69"/>
        <v>0</v>
      </c>
      <c r="K401" s="235">
        <f t="shared" si="60"/>
        <v>0</v>
      </c>
      <c r="L401" s="133" t="e">
        <f t="shared" si="61"/>
        <v>#DIV/0!</v>
      </c>
      <c r="M401" s="236">
        <f t="shared" si="70"/>
        <v>0</v>
      </c>
      <c r="N401" s="236">
        <f t="shared" si="70"/>
        <v>0</v>
      </c>
      <c r="O401" s="236">
        <f t="shared" si="70"/>
        <v>0</v>
      </c>
      <c r="P401" s="235">
        <f t="shared" si="62"/>
        <v>0</v>
      </c>
      <c r="Q401" s="133" t="e">
        <f t="shared" si="63"/>
        <v>#DIV/0!</v>
      </c>
    </row>
    <row r="402" spans="1:17" s="78" customFormat="1" ht="22.5" customHeight="1">
      <c r="A402" s="77" t="s">
        <v>149</v>
      </c>
      <c r="B402" s="81" t="s">
        <v>148</v>
      </c>
      <c r="C402" s="234">
        <f t="shared" si="64"/>
        <v>445647.3</v>
      </c>
      <c r="D402" s="234">
        <f t="shared" si="64"/>
        <v>481820.3</v>
      </c>
      <c r="E402" s="234">
        <f t="shared" si="65"/>
        <v>478766.68399999995</v>
      </c>
      <c r="F402" s="235">
        <f t="shared" si="58"/>
        <v>-3053.616000000038</v>
      </c>
      <c r="G402" s="133">
        <f t="shared" si="59"/>
        <v>99.36623342769077</v>
      </c>
      <c r="H402" s="236">
        <f>H37+25000+1900+H84+H129+H174+H219+H265+H311+H356</f>
        <v>445647.3</v>
      </c>
      <c r="I402" s="236">
        <f>I37+18000+2147.2+I84+I129+I174+I219+I265+I311+I356</f>
        <v>481820.3</v>
      </c>
      <c r="J402" s="236">
        <f>J37+17958.6+2121.3+J84+J129+J174+J219+J265+J311+J356</f>
        <v>478766.68399999995</v>
      </c>
      <c r="K402" s="235">
        <f t="shared" si="60"/>
        <v>-3053.616000000038</v>
      </c>
      <c r="L402" s="133">
        <f t="shared" si="61"/>
        <v>99.36623342769077</v>
      </c>
      <c r="M402" s="356">
        <f t="shared" si="70"/>
        <v>0</v>
      </c>
      <c r="N402" s="356">
        <f t="shared" si="70"/>
        <v>0</v>
      </c>
      <c r="O402" s="356">
        <f t="shared" si="70"/>
        <v>0</v>
      </c>
      <c r="P402" s="351">
        <f t="shared" si="62"/>
        <v>0</v>
      </c>
      <c r="Q402" s="352" t="e">
        <f t="shared" si="63"/>
        <v>#DIV/0!</v>
      </c>
    </row>
    <row r="403" spans="1:17" s="78" customFormat="1" ht="22.5" customHeight="1" hidden="1">
      <c r="A403" s="77" t="s">
        <v>298</v>
      </c>
      <c r="B403" s="81" t="s">
        <v>297</v>
      </c>
      <c r="C403" s="234">
        <f t="shared" si="64"/>
        <v>0</v>
      </c>
      <c r="D403" s="234">
        <f t="shared" si="64"/>
        <v>0</v>
      </c>
      <c r="E403" s="234">
        <f t="shared" si="65"/>
        <v>0</v>
      </c>
      <c r="F403" s="235">
        <f t="shared" si="58"/>
        <v>0</v>
      </c>
      <c r="G403" s="133" t="e">
        <f t="shared" si="59"/>
        <v>#DIV/0!</v>
      </c>
      <c r="H403" s="236">
        <f aca="true" t="shared" si="71" ref="H403:J405">H38+H85+H130+H175+H220+H266+H312+H357</f>
        <v>0</v>
      </c>
      <c r="I403" s="236">
        <f t="shared" si="71"/>
        <v>0</v>
      </c>
      <c r="J403" s="236">
        <f t="shared" si="71"/>
        <v>0</v>
      </c>
      <c r="K403" s="235">
        <f t="shared" si="60"/>
        <v>0</v>
      </c>
      <c r="L403" s="133" t="e">
        <f t="shared" si="61"/>
        <v>#DIV/0!</v>
      </c>
      <c r="M403" s="236">
        <f t="shared" si="70"/>
        <v>0</v>
      </c>
      <c r="N403" s="236">
        <f t="shared" si="70"/>
        <v>0</v>
      </c>
      <c r="O403" s="236">
        <f t="shared" si="70"/>
        <v>0</v>
      </c>
      <c r="P403" s="235">
        <f t="shared" si="62"/>
        <v>0</v>
      </c>
      <c r="Q403" s="133" t="e">
        <f t="shared" si="63"/>
        <v>#DIV/0!</v>
      </c>
    </row>
    <row r="404" spans="1:17" s="78" customFormat="1" ht="22.5" customHeight="1">
      <c r="A404" s="77" t="s">
        <v>151</v>
      </c>
      <c r="B404" s="81" t="s">
        <v>150</v>
      </c>
      <c r="C404" s="234"/>
      <c r="D404" s="234"/>
      <c r="E404" s="234"/>
      <c r="F404" s="351">
        <f t="shared" si="58"/>
        <v>0</v>
      </c>
      <c r="G404" s="352" t="e">
        <f t="shared" si="59"/>
        <v>#DIV/0!</v>
      </c>
      <c r="H404" s="236">
        <f t="shared" si="71"/>
        <v>5268161</v>
      </c>
      <c r="I404" s="236">
        <f t="shared" si="71"/>
        <v>5482797.5</v>
      </c>
      <c r="J404" s="236">
        <f t="shared" si="71"/>
        <v>5454887.173</v>
      </c>
      <c r="K404" s="235">
        <f t="shared" si="60"/>
        <v>-27910.326999999583</v>
      </c>
      <c r="L404" s="133">
        <f t="shared" si="61"/>
        <v>99.49094733117538</v>
      </c>
      <c r="M404" s="356">
        <f t="shared" si="70"/>
        <v>0</v>
      </c>
      <c r="N404" s="236">
        <f t="shared" si="70"/>
        <v>1600</v>
      </c>
      <c r="O404" s="236">
        <f t="shared" si="70"/>
        <v>1600</v>
      </c>
      <c r="P404" s="351">
        <f t="shared" si="62"/>
        <v>0</v>
      </c>
      <c r="Q404" s="133">
        <f t="shared" si="63"/>
        <v>100</v>
      </c>
    </row>
    <row r="405" spans="1:17" s="78" customFormat="1" ht="22.5" customHeight="1" hidden="1">
      <c r="A405" s="77" t="s">
        <v>300</v>
      </c>
      <c r="B405" s="81" t="s">
        <v>299</v>
      </c>
      <c r="C405" s="234">
        <f t="shared" si="64"/>
        <v>0</v>
      </c>
      <c r="D405" s="234">
        <f t="shared" si="64"/>
        <v>0</v>
      </c>
      <c r="E405" s="234">
        <f t="shared" si="65"/>
        <v>0</v>
      </c>
      <c r="F405" s="235">
        <f t="shared" si="58"/>
        <v>0</v>
      </c>
      <c r="G405" s="133" t="e">
        <f t="shared" si="59"/>
        <v>#DIV/0!</v>
      </c>
      <c r="H405" s="236">
        <f t="shared" si="71"/>
        <v>0</v>
      </c>
      <c r="I405" s="236">
        <f t="shared" si="71"/>
        <v>0</v>
      </c>
      <c r="J405" s="236">
        <f t="shared" si="71"/>
        <v>0</v>
      </c>
      <c r="K405" s="235">
        <f t="shared" si="60"/>
        <v>0</v>
      </c>
      <c r="L405" s="133" t="e">
        <f t="shared" si="61"/>
        <v>#DIV/0!</v>
      </c>
      <c r="M405" s="236">
        <f t="shared" si="70"/>
        <v>0</v>
      </c>
      <c r="N405" s="236">
        <f t="shared" si="70"/>
        <v>0</v>
      </c>
      <c r="O405" s="236">
        <f t="shared" si="70"/>
        <v>0</v>
      </c>
      <c r="P405" s="235">
        <f t="shared" si="62"/>
        <v>0</v>
      </c>
      <c r="Q405" s="133" t="e">
        <f t="shared" si="63"/>
        <v>#DIV/0!</v>
      </c>
    </row>
    <row r="406" spans="1:17" s="78" customFormat="1" ht="22.5" customHeight="1">
      <c r="A406" s="77" t="s">
        <v>153</v>
      </c>
      <c r="B406" s="81" t="s">
        <v>152</v>
      </c>
      <c r="C406" s="234">
        <f t="shared" si="64"/>
        <v>17923981.599999998</v>
      </c>
      <c r="D406" s="234">
        <f t="shared" si="64"/>
        <v>17517168</v>
      </c>
      <c r="E406" s="234">
        <f t="shared" si="65"/>
        <v>17513794.501000002</v>
      </c>
      <c r="F406" s="235">
        <f t="shared" si="58"/>
        <v>-3373.4989999979734</v>
      </c>
      <c r="G406" s="133">
        <f t="shared" si="59"/>
        <v>99.980741755745</v>
      </c>
      <c r="H406" s="236">
        <f>H41+58620.3+75128.8+H88+H133+H178+H223+H269+H315+H360</f>
        <v>17923515.4</v>
      </c>
      <c r="I406" s="236">
        <f>I41+55595.3+59782.1+I88+I133+I178+I223+I269+I315+I360</f>
        <v>17516419.6</v>
      </c>
      <c r="J406" s="236">
        <f>J41+52486+59649.15+J88+J133+J178+J223+J269+J315+J360</f>
        <v>17513046.201</v>
      </c>
      <c r="K406" s="235">
        <f t="shared" si="60"/>
        <v>-3373.3990000002086</v>
      </c>
      <c r="L406" s="133">
        <f t="shared" si="61"/>
        <v>99.98074150381736</v>
      </c>
      <c r="M406" s="236">
        <f>M41++M88+M133+M178+M223+M269+M315+M360</f>
        <v>466.2</v>
      </c>
      <c r="N406" s="236">
        <f>N41+N88+N133+N178+N223+N269+N315+N360</f>
        <v>748.4</v>
      </c>
      <c r="O406" s="236">
        <f>O41+O88+O133+O178+O223+O269+O315+O360</f>
        <v>748.3</v>
      </c>
      <c r="P406" s="235">
        <f t="shared" si="62"/>
        <v>-0.10000000000002274</v>
      </c>
      <c r="Q406" s="133">
        <f t="shared" si="63"/>
        <v>99.98663816141101</v>
      </c>
    </row>
    <row r="407" spans="1:17" s="78" customFormat="1" ht="22.5" customHeight="1">
      <c r="A407" s="77" t="s">
        <v>155</v>
      </c>
      <c r="B407" s="81" t="s">
        <v>154</v>
      </c>
      <c r="C407" s="234">
        <f t="shared" si="64"/>
        <v>8848489.799999999</v>
      </c>
      <c r="D407" s="234">
        <f t="shared" si="64"/>
        <v>8299438.867</v>
      </c>
      <c r="E407" s="234">
        <f t="shared" si="65"/>
        <v>8138579.725</v>
      </c>
      <c r="F407" s="235">
        <f t="shared" si="58"/>
        <v>-160859.142</v>
      </c>
      <c r="G407" s="133">
        <f t="shared" si="59"/>
        <v>98.06180701397051</v>
      </c>
      <c r="H407" s="236">
        <f>H42+2341.5+90297.6+H89+H134+H179+H224+H270+H316+H361</f>
        <v>8504239.1</v>
      </c>
      <c r="I407" s="236">
        <f>I42+89181.2+I89+I134+I179+I224+I270+I316+I361</f>
        <v>7774663.5</v>
      </c>
      <c r="J407" s="236">
        <f>J42+75256.5+J89+J134+J179+J224+J270+J316+J361</f>
        <v>7631228.755</v>
      </c>
      <c r="K407" s="235">
        <f t="shared" si="60"/>
        <v>-143434.7450000001</v>
      </c>
      <c r="L407" s="133">
        <f t="shared" si="61"/>
        <v>98.15510028183213</v>
      </c>
      <c r="M407" s="236">
        <f>M42+150+M89+M134+M179+M224+M270+M316+M361</f>
        <v>344250.7</v>
      </c>
      <c r="N407" s="236">
        <f>N42+1190.3+N89+N134+N179+N224+N270+N316+N361</f>
        <v>524775.367</v>
      </c>
      <c r="O407" s="236">
        <f>O42+1120.2+O89+O134+O179+O224+O270+O316+O361</f>
        <v>507350.97000000003</v>
      </c>
      <c r="P407" s="235">
        <f t="shared" si="62"/>
        <v>-17424.39699999994</v>
      </c>
      <c r="Q407" s="133">
        <f t="shared" si="63"/>
        <v>96.67964655055923</v>
      </c>
    </row>
    <row r="408" spans="1:17" s="78" customFormat="1" ht="22.5" customHeight="1">
      <c r="A408" s="77" t="s">
        <v>192</v>
      </c>
      <c r="B408" s="81" t="s">
        <v>156</v>
      </c>
      <c r="C408" s="234">
        <f t="shared" si="64"/>
        <v>170147</v>
      </c>
      <c r="D408" s="234">
        <f t="shared" si="64"/>
        <v>174288</v>
      </c>
      <c r="E408" s="234">
        <f t="shared" si="65"/>
        <v>161523.514</v>
      </c>
      <c r="F408" s="235">
        <f t="shared" si="58"/>
        <v>-12764.486000000004</v>
      </c>
      <c r="G408" s="133">
        <f t="shared" si="59"/>
        <v>92.67621063986046</v>
      </c>
      <c r="H408" s="236">
        <f aca="true" t="shared" si="72" ref="H408:J409">H43+H90+H135+H180+H225+H271+H317+H362</f>
        <v>164287</v>
      </c>
      <c r="I408" s="236">
        <f t="shared" si="72"/>
        <v>168349</v>
      </c>
      <c r="J408" s="236">
        <f t="shared" si="72"/>
        <v>155598.114</v>
      </c>
      <c r="K408" s="235">
        <f t="shared" si="60"/>
        <v>-12750.885999999999</v>
      </c>
      <c r="L408" s="133">
        <f t="shared" si="61"/>
        <v>92.4259211518928</v>
      </c>
      <c r="M408" s="236">
        <f aca="true" t="shared" si="73" ref="M408:O411">M43+M90+M135+M180+M225+M271+M317+M362</f>
        <v>5860</v>
      </c>
      <c r="N408" s="236">
        <f t="shared" si="73"/>
        <v>5939</v>
      </c>
      <c r="O408" s="236">
        <f t="shared" si="73"/>
        <v>5925.4</v>
      </c>
      <c r="P408" s="235">
        <f t="shared" si="62"/>
        <v>-13.600000000000364</v>
      </c>
      <c r="Q408" s="133">
        <f t="shared" si="63"/>
        <v>99.77100521973395</v>
      </c>
    </row>
    <row r="409" spans="1:17" s="78" customFormat="1" ht="22.5" customHeight="1" hidden="1">
      <c r="A409" s="77" t="s">
        <v>158</v>
      </c>
      <c r="B409" s="81" t="s">
        <v>157</v>
      </c>
      <c r="C409" s="234">
        <f t="shared" si="64"/>
        <v>0</v>
      </c>
      <c r="D409" s="234">
        <f t="shared" si="64"/>
        <v>0</v>
      </c>
      <c r="E409" s="234">
        <f t="shared" si="65"/>
        <v>0</v>
      </c>
      <c r="F409" s="235">
        <f t="shared" si="58"/>
        <v>0</v>
      </c>
      <c r="G409" s="133" t="e">
        <f t="shared" si="59"/>
        <v>#DIV/0!</v>
      </c>
      <c r="H409" s="236">
        <f t="shared" si="72"/>
        <v>0</v>
      </c>
      <c r="I409" s="236">
        <f t="shared" si="72"/>
        <v>0</v>
      </c>
      <c r="J409" s="236">
        <f t="shared" si="72"/>
        <v>0</v>
      </c>
      <c r="K409" s="235">
        <f t="shared" si="60"/>
        <v>0</v>
      </c>
      <c r="L409" s="133" t="e">
        <f t="shared" si="61"/>
        <v>#DIV/0!</v>
      </c>
      <c r="M409" s="236">
        <f t="shared" si="73"/>
        <v>0</v>
      </c>
      <c r="N409" s="236">
        <f t="shared" si="73"/>
        <v>0</v>
      </c>
      <c r="O409" s="236">
        <f t="shared" si="73"/>
        <v>0</v>
      </c>
      <c r="P409" s="235">
        <f t="shared" si="62"/>
        <v>0</v>
      </c>
      <c r="Q409" s="133" t="e">
        <f t="shared" si="63"/>
        <v>#DIV/0!</v>
      </c>
    </row>
    <row r="410" spans="1:17" s="78" customFormat="1" ht="22.5" customHeight="1">
      <c r="A410" s="77" t="s">
        <v>464</v>
      </c>
      <c r="B410" s="81" t="s">
        <v>463</v>
      </c>
      <c r="C410" s="234">
        <f t="shared" si="64"/>
        <v>194020.59999999998</v>
      </c>
      <c r="D410" s="234">
        <f t="shared" si="64"/>
        <v>228150.14599999998</v>
      </c>
      <c r="E410" s="234">
        <f t="shared" si="65"/>
        <v>227409.05399999997</v>
      </c>
      <c r="F410" s="235">
        <f t="shared" si="58"/>
        <v>-741.0920000000042</v>
      </c>
      <c r="G410" s="133">
        <f t="shared" si="59"/>
        <v>99.6751735587318</v>
      </c>
      <c r="H410" s="236">
        <f>H45+190300.8+H92+H137+H182+H227+H273+H319+H364</f>
        <v>190554.69999999998</v>
      </c>
      <c r="I410" s="236">
        <f>I45+194570.5+I92+I137+I182+I227+I273+I319+I364</f>
        <v>206464.59999999998</v>
      </c>
      <c r="J410" s="236">
        <f>J45+194402.05+J92+J137+J182+J227+J273+J319+J364</f>
        <v>206147.10299999997</v>
      </c>
      <c r="K410" s="235">
        <f t="shared" si="60"/>
        <v>-317.497000000003</v>
      </c>
      <c r="L410" s="133">
        <f t="shared" si="61"/>
        <v>99.84622206421827</v>
      </c>
      <c r="M410" s="236">
        <f t="shared" si="73"/>
        <v>3465.9</v>
      </c>
      <c r="N410" s="236">
        <f t="shared" si="73"/>
        <v>21685.546</v>
      </c>
      <c r="O410" s="236">
        <f t="shared" si="73"/>
        <v>21261.951</v>
      </c>
      <c r="P410" s="235">
        <f t="shared" si="62"/>
        <v>-423.5949999999975</v>
      </c>
      <c r="Q410" s="133">
        <f t="shared" si="63"/>
        <v>98.0466482144374</v>
      </c>
    </row>
    <row r="411" spans="1:17" s="78" customFormat="1" ht="22.5" customHeight="1">
      <c r="A411" s="77" t="s">
        <v>466</v>
      </c>
      <c r="B411" s="81" t="s">
        <v>465</v>
      </c>
      <c r="C411" s="234">
        <f t="shared" si="64"/>
        <v>957030.1</v>
      </c>
      <c r="D411" s="234">
        <f t="shared" si="64"/>
        <v>256864.63</v>
      </c>
      <c r="E411" s="234">
        <f t="shared" si="65"/>
        <v>219700.359</v>
      </c>
      <c r="F411" s="235">
        <f t="shared" si="58"/>
        <v>-37164.27100000001</v>
      </c>
      <c r="G411" s="133">
        <f t="shared" si="59"/>
        <v>85.53157318701294</v>
      </c>
      <c r="H411" s="236">
        <f>H46+H93+H138+H183+H228+H274+H320+H365</f>
        <v>827563.4</v>
      </c>
      <c r="I411" s="236">
        <f>I46+I93+I138+I183+I228+I274+I320+I365</f>
        <v>158000</v>
      </c>
      <c r="J411" s="236">
        <f>J46+J93+J138+J183+J228+J274+J320+J365</f>
        <v>157897.82</v>
      </c>
      <c r="K411" s="235">
        <f t="shared" si="60"/>
        <v>-102.17999999999302</v>
      </c>
      <c r="L411" s="133">
        <f t="shared" si="61"/>
        <v>99.93532911392406</v>
      </c>
      <c r="M411" s="236">
        <f t="shared" si="73"/>
        <v>129466.7</v>
      </c>
      <c r="N411" s="236">
        <f t="shared" si="73"/>
        <v>98864.63</v>
      </c>
      <c r="O411" s="236">
        <f t="shared" si="73"/>
        <v>61802.539</v>
      </c>
      <c r="P411" s="235">
        <f t="shared" si="62"/>
        <v>-37062.09100000001</v>
      </c>
      <c r="Q411" s="133">
        <f t="shared" si="63"/>
        <v>62.512284727106135</v>
      </c>
    </row>
    <row r="412" spans="1:17" s="76" customFormat="1" ht="22.5" customHeight="1">
      <c r="A412" s="75" t="s">
        <v>160</v>
      </c>
      <c r="B412" s="80" t="s">
        <v>159</v>
      </c>
      <c r="C412" s="233">
        <f>H412+M412</f>
        <v>8546032.3</v>
      </c>
      <c r="D412" s="233">
        <f>I412+N412</f>
        <v>11716346.592</v>
      </c>
      <c r="E412" s="233">
        <f>J412+O412</f>
        <v>9590184.708</v>
      </c>
      <c r="F412" s="232">
        <f t="shared" si="58"/>
        <v>-2126161.8839999996</v>
      </c>
      <c r="G412" s="82">
        <f t="shared" si="59"/>
        <v>81.85303014634478</v>
      </c>
      <c r="H412" s="210">
        <f>H47+16371+1266648.3+H94+H139+H184+H229+H275+H321+H366</f>
        <v>7552043</v>
      </c>
      <c r="I412" s="210">
        <f>I47+131251.7+1362595.25+I94+I139+I184+I229+I275+I321+I366</f>
        <v>10611516.236</v>
      </c>
      <c r="J412" s="210">
        <f>J47+99462.1+1268983.1+J94+J139+J184+J229+J275+J321+J366</f>
        <v>8617840.703</v>
      </c>
      <c r="K412" s="232">
        <f t="shared" si="60"/>
        <v>-1993675.5329999998</v>
      </c>
      <c r="L412" s="82">
        <f t="shared" si="61"/>
        <v>81.21215207458879</v>
      </c>
      <c r="M412" s="210">
        <f>M47+253+M94+M139+M184+M229+M275+M321+M366</f>
        <v>993989.3</v>
      </c>
      <c r="N412" s="210">
        <f>N47+321+N94+N139+N184+N229+N275+N321+N366</f>
        <v>1104830.356</v>
      </c>
      <c r="O412" s="210">
        <f>O47+211.2+O94+O139+O184+O229+O275+O321+O366</f>
        <v>972344.005</v>
      </c>
      <c r="P412" s="232">
        <f t="shared" si="62"/>
        <v>-132486.3509999999</v>
      </c>
      <c r="Q412" s="82">
        <f t="shared" si="63"/>
        <v>88.00844398594711</v>
      </c>
    </row>
    <row r="413" spans="1:17" s="78" customFormat="1" ht="22.5" customHeight="1">
      <c r="A413" s="77"/>
      <c r="B413" s="81" t="s">
        <v>159</v>
      </c>
      <c r="C413" s="234"/>
      <c r="D413" s="234"/>
      <c r="E413" s="236"/>
      <c r="F413" s="232"/>
      <c r="G413" s="82"/>
      <c r="H413" s="236"/>
      <c r="I413" s="236"/>
      <c r="J413" s="236"/>
      <c r="K413" s="232"/>
      <c r="L413" s="82"/>
      <c r="M413" s="234"/>
      <c r="N413" s="234"/>
      <c r="O413" s="234"/>
      <c r="P413" s="232"/>
      <c r="Q413" s="82"/>
    </row>
    <row r="414" spans="1:17" s="76" customFormat="1" ht="22.5" customHeight="1">
      <c r="A414" s="75" t="s">
        <v>171</v>
      </c>
      <c r="B414" s="79"/>
      <c r="C414" s="233">
        <f>C368</f>
        <v>123812471.79999998</v>
      </c>
      <c r="D414" s="233">
        <f>D368</f>
        <v>130593051.92699999</v>
      </c>
      <c r="E414" s="233">
        <f>E368</f>
        <v>124910327.44299997</v>
      </c>
      <c r="F414" s="232">
        <f t="shared" si="58"/>
        <v>-5682724.484000012</v>
      </c>
      <c r="G414" s="82">
        <f t="shared" si="59"/>
        <v>95.64852463423813</v>
      </c>
      <c r="H414" s="233">
        <f>H368</f>
        <v>114324484.89999999</v>
      </c>
      <c r="I414" s="233">
        <f>I368</f>
        <v>119547751.64200002</v>
      </c>
      <c r="J414" s="233">
        <f>J368</f>
        <v>114745796.67899999</v>
      </c>
      <c r="K414" s="232">
        <f t="shared" si="60"/>
        <v>-4801954.963000029</v>
      </c>
      <c r="L414" s="82">
        <f t="shared" si="61"/>
        <v>95.98323272747106</v>
      </c>
      <c r="M414" s="233">
        <f>M368</f>
        <v>14756147.899999997</v>
      </c>
      <c r="N414" s="233">
        <f>N368</f>
        <v>16529697.785000002</v>
      </c>
      <c r="O414" s="233">
        <f>O368</f>
        <v>15621017.937000003</v>
      </c>
      <c r="P414" s="232">
        <f t="shared" si="62"/>
        <v>-908679.8479999993</v>
      </c>
      <c r="Q414" s="82">
        <f t="shared" si="63"/>
        <v>94.50274372938271</v>
      </c>
    </row>
    <row r="415" spans="1:17" s="76" customFormat="1" ht="22.5" customHeight="1">
      <c r="A415" s="75"/>
      <c r="B415" s="80" t="s">
        <v>159</v>
      </c>
      <c r="C415" s="233"/>
      <c r="D415" s="233"/>
      <c r="E415" s="210"/>
      <c r="F415" s="232"/>
      <c r="G415" s="82"/>
      <c r="H415" s="210"/>
      <c r="I415" s="210"/>
      <c r="J415" s="210"/>
      <c r="K415" s="232"/>
      <c r="L415" s="82"/>
      <c r="M415" s="233"/>
      <c r="N415" s="233"/>
      <c r="O415" s="233"/>
      <c r="P415" s="232"/>
      <c r="Q415" s="82"/>
    </row>
    <row r="416" spans="1:17" s="76" customFormat="1" ht="22.5" customHeight="1">
      <c r="A416" s="75" t="s">
        <v>172</v>
      </c>
      <c r="B416" s="79"/>
      <c r="C416" s="233">
        <f>доходы!C419-расходы!C414</f>
        <v>17120018.800000012</v>
      </c>
      <c r="D416" s="233">
        <f>доходы!D419-расходы!D414</f>
        <v>24176148.372999996</v>
      </c>
      <c r="E416" s="233">
        <f>доходы!E419-расходы!E414</f>
        <v>24591713.77500002</v>
      </c>
      <c r="F416" s="232">
        <f t="shared" si="58"/>
        <v>415565.4020000249</v>
      </c>
      <c r="G416" s="355">
        <f t="shared" si="59"/>
        <v>101.71890656687121</v>
      </c>
      <c r="H416" s="233">
        <f>доходы!H419-расходы!H414</f>
        <v>12504067.700000003</v>
      </c>
      <c r="I416" s="233">
        <f>доходы!I419-расходы!I414</f>
        <v>20341388.657999963</v>
      </c>
      <c r="J416" s="233">
        <f>доходы!J419-расходы!J414</f>
        <v>19961544.735000014</v>
      </c>
      <c r="K416" s="232">
        <f t="shared" si="60"/>
        <v>-379843.92299994826</v>
      </c>
      <c r="L416" s="355">
        <f t="shared" si="61"/>
        <v>98.13265490677028</v>
      </c>
      <c r="M416" s="233">
        <f>доходы!M419-расходы!M414</f>
        <v>4615951.100000003</v>
      </c>
      <c r="N416" s="233">
        <f>доходы!N419-расходы!N414</f>
        <v>3815984.014999995</v>
      </c>
      <c r="O416" s="233">
        <f>доходы!O419-расходы!O414</f>
        <v>4630169.037999995</v>
      </c>
      <c r="P416" s="232">
        <f t="shared" si="62"/>
        <v>814185.023</v>
      </c>
      <c r="Q416" s="355">
        <f t="shared" si="63"/>
        <v>121.33617488436992</v>
      </c>
    </row>
    <row r="417" spans="2:20" s="7" customFormat="1" ht="19.5" customHeight="1">
      <c r="B417" s="8"/>
      <c r="C417" s="237"/>
      <c r="D417" s="237"/>
      <c r="E417" s="237"/>
      <c r="F417" s="237"/>
      <c r="G417" s="10"/>
      <c r="H417" s="211"/>
      <c r="I417" s="211"/>
      <c r="J417" s="211"/>
      <c r="K417" s="211"/>
      <c r="L417" s="11"/>
      <c r="M417" s="237"/>
      <c r="N417" s="237"/>
      <c r="O417" s="237"/>
      <c r="P417" s="237"/>
      <c r="Q417" s="9"/>
      <c r="R417" s="6"/>
      <c r="S417" s="6"/>
      <c r="T417" s="6"/>
    </row>
    <row r="418" spans="2:20" s="14" customFormat="1" ht="15.75" customHeight="1">
      <c r="B418" s="155"/>
      <c r="C418" s="238"/>
      <c r="D418" s="238"/>
      <c r="E418" s="238"/>
      <c r="F418" s="238"/>
      <c r="G418" s="156"/>
      <c r="H418" s="241"/>
      <c r="I418" s="241"/>
      <c r="J418" s="212"/>
      <c r="K418" s="212"/>
      <c r="L418" s="37"/>
      <c r="M418" s="192"/>
      <c r="N418" s="192"/>
      <c r="O418" s="192"/>
      <c r="P418" s="238"/>
      <c r="Q418" s="1"/>
      <c r="R418" s="13"/>
      <c r="S418" s="13"/>
      <c r="T418" s="13"/>
    </row>
    <row r="419" spans="2:20" s="17" customFormat="1" ht="15">
      <c r="B419" s="43"/>
      <c r="C419" s="237"/>
      <c r="D419" s="237"/>
      <c r="E419" s="237"/>
      <c r="F419" s="237"/>
      <c r="G419" s="10"/>
      <c r="H419" s="211"/>
      <c r="I419" s="211"/>
      <c r="J419" s="212"/>
      <c r="K419" s="212"/>
      <c r="L419" s="37"/>
      <c r="M419" s="212"/>
      <c r="N419" s="212"/>
      <c r="O419" s="212"/>
      <c r="P419" s="237"/>
      <c r="Q419" s="9"/>
      <c r="R419" s="16"/>
      <c r="S419" s="16"/>
      <c r="T419" s="16"/>
    </row>
    <row r="420" spans="2:20" s="14" customFormat="1" ht="18.75" customHeight="1">
      <c r="B420" s="155"/>
      <c r="C420" s="238"/>
      <c r="D420" s="238"/>
      <c r="E420" s="238"/>
      <c r="F420" s="245"/>
      <c r="G420" s="18"/>
      <c r="H420" s="242"/>
      <c r="I420" s="242"/>
      <c r="J420" s="241"/>
      <c r="K420" s="241"/>
      <c r="L420" s="2"/>
      <c r="M420" s="238"/>
      <c r="N420" s="238"/>
      <c r="O420" s="238"/>
      <c r="P420" s="238"/>
      <c r="Q420" s="1"/>
      <c r="R420" s="13"/>
      <c r="S420" s="13"/>
      <c r="T420" s="13"/>
    </row>
    <row r="421" spans="2:20" s="14" customFormat="1" ht="8.25" customHeight="1">
      <c r="B421" s="155"/>
      <c r="C421" s="238"/>
      <c r="D421" s="238"/>
      <c r="E421" s="238"/>
      <c r="F421" s="245"/>
      <c r="G421" s="18"/>
      <c r="H421" s="242"/>
      <c r="I421" s="242"/>
      <c r="J421" s="241"/>
      <c r="K421" s="241"/>
      <c r="L421" s="2"/>
      <c r="M421" s="238"/>
      <c r="N421" s="238"/>
      <c r="O421" s="238"/>
      <c r="P421" s="238"/>
      <c r="Q421" s="1"/>
      <c r="R421" s="13"/>
      <c r="S421" s="13"/>
      <c r="T421" s="13"/>
    </row>
    <row r="422" spans="2:20" s="21" customFormat="1" ht="9" customHeight="1">
      <c r="B422" s="155"/>
      <c r="C422" s="238"/>
      <c r="D422" s="238"/>
      <c r="E422" s="238"/>
      <c r="F422" s="245"/>
      <c r="G422" s="18"/>
      <c r="H422" s="242"/>
      <c r="I422" s="242"/>
      <c r="J422" s="241"/>
      <c r="K422" s="241"/>
      <c r="L422" s="2"/>
      <c r="M422" s="238"/>
      <c r="N422" s="238"/>
      <c r="O422" s="238"/>
      <c r="P422" s="238"/>
      <c r="Q422" s="1"/>
      <c r="R422" s="20"/>
      <c r="S422" s="20"/>
      <c r="T422" s="20"/>
    </row>
    <row r="423" spans="2:20" s="17" customFormat="1" ht="15.75" customHeight="1">
      <c r="B423" s="43"/>
      <c r="C423" s="238"/>
      <c r="D423" s="238"/>
      <c r="E423" s="238"/>
      <c r="F423" s="246"/>
      <c r="G423" s="18"/>
      <c r="H423" s="243"/>
      <c r="I423" s="243"/>
      <c r="J423" s="241"/>
      <c r="K423" s="211"/>
      <c r="L423" s="11"/>
      <c r="M423" s="237"/>
      <c r="N423" s="237"/>
      <c r="O423" s="237"/>
      <c r="P423" s="237"/>
      <c r="Q423" s="9"/>
      <c r="R423" s="16"/>
      <c r="S423" s="16"/>
      <c r="T423" s="16"/>
    </row>
    <row r="424" spans="2:20" s="17" customFormat="1" ht="15.75" customHeight="1">
      <c r="B424" s="43"/>
      <c r="C424" s="238"/>
      <c r="D424" s="238"/>
      <c r="E424" s="238"/>
      <c r="F424" s="245"/>
      <c r="G424" s="18"/>
      <c r="H424" s="243"/>
      <c r="I424" s="243"/>
      <c r="J424" s="211"/>
      <c r="K424" s="211"/>
      <c r="L424" s="11"/>
      <c r="M424" s="237"/>
      <c r="N424" s="237"/>
      <c r="O424" s="237"/>
      <c r="P424" s="237"/>
      <c r="Q424" s="9"/>
      <c r="R424" s="16"/>
      <c r="S424" s="16"/>
      <c r="T424" s="16"/>
    </row>
    <row r="425" spans="2:20" s="25" customFormat="1" ht="15.75" customHeight="1">
      <c r="B425" s="157"/>
      <c r="C425" s="238"/>
      <c r="D425" s="238"/>
      <c r="E425" s="238"/>
      <c r="F425" s="238"/>
      <c r="G425" s="1"/>
      <c r="H425" s="241"/>
      <c r="I425" s="241"/>
      <c r="J425" s="241"/>
      <c r="K425" s="241"/>
      <c r="L425" s="2"/>
      <c r="M425" s="238"/>
      <c r="N425" s="238"/>
      <c r="O425" s="238"/>
      <c r="P425" s="238"/>
      <c r="Q425" s="1"/>
      <c r="R425" s="24"/>
      <c r="S425" s="24"/>
      <c r="T425" s="24"/>
    </row>
    <row r="426" spans="2:20" s="29" customFormat="1" ht="15.75" customHeight="1">
      <c r="B426" s="43"/>
      <c r="C426" s="238"/>
      <c r="D426" s="238"/>
      <c r="E426" s="238"/>
      <c r="F426" s="245"/>
      <c r="G426" s="158"/>
      <c r="H426" s="243"/>
      <c r="I426" s="243"/>
      <c r="J426" s="241"/>
      <c r="K426" s="211"/>
      <c r="L426" s="11"/>
      <c r="M426" s="237"/>
      <c r="N426" s="237"/>
      <c r="O426" s="237"/>
      <c r="P426" s="237"/>
      <c r="Q426" s="9"/>
      <c r="R426" s="28"/>
      <c r="S426" s="28"/>
      <c r="T426" s="28"/>
    </row>
    <row r="427" spans="2:20" s="29" customFormat="1" ht="15.75" customHeight="1">
      <c r="B427" s="43"/>
      <c r="C427" s="238"/>
      <c r="D427" s="238"/>
      <c r="E427" s="238"/>
      <c r="F427" s="245"/>
      <c r="G427" s="18"/>
      <c r="H427" s="243"/>
      <c r="I427" s="243"/>
      <c r="J427" s="211"/>
      <c r="K427" s="211"/>
      <c r="L427" s="11"/>
      <c r="M427" s="238"/>
      <c r="N427" s="238"/>
      <c r="O427" s="237"/>
      <c r="P427" s="237"/>
      <c r="Q427" s="9"/>
      <c r="R427" s="28"/>
      <c r="S427" s="28"/>
      <c r="T427" s="28"/>
    </row>
    <row r="428" spans="2:20" s="17" customFormat="1" ht="15">
      <c r="B428" s="43"/>
      <c r="C428" s="238"/>
      <c r="D428" s="238"/>
      <c r="E428" s="237"/>
      <c r="F428" s="237"/>
      <c r="G428" s="9"/>
      <c r="H428" s="211"/>
      <c r="I428" s="211"/>
      <c r="J428" s="211"/>
      <c r="K428" s="211"/>
      <c r="L428" s="11"/>
      <c r="M428" s="237"/>
      <c r="N428" s="237"/>
      <c r="O428" s="237"/>
      <c r="P428" s="237"/>
      <c r="Q428" s="9"/>
      <c r="R428" s="16"/>
      <c r="S428" s="16"/>
      <c r="T428" s="16"/>
    </row>
    <row r="429" spans="2:20" s="17" customFormat="1" ht="15">
      <c r="B429" s="43"/>
      <c r="C429" s="238"/>
      <c r="D429" s="238"/>
      <c r="E429" s="237"/>
      <c r="F429" s="238"/>
      <c r="G429" s="1"/>
      <c r="H429" s="211"/>
      <c r="I429" s="211"/>
      <c r="J429" s="241"/>
      <c r="K429" s="211"/>
      <c r="L429" s="11"/>
      <c r="M429" s="237"/>
      <c r="N429" s="237"/>
      <c r="O429" s="237"/>
      <c r="P429" s="237"/>
      <c r="Q429" s="9"/>
      <c r="R429" s="16"/>
      <c r="S429" s="16"/>
      <c r="T429" s="16"/>
    </row>
    <row r="431" spans="2:20" s="17" customFormat="1" ht="15">
      <c r="B431" s="43"/>
      <c r="C431" s="237"/>
      <c r="D431" s="237"/>
      <c r="E431" s="237"/>
      <c r="F431" s="237"/>
      <c r="G431" s="10"/>
      <c r="H431" s="211"/>
      <c r="I431" s="211"/>
      <c r="J431" s="211"/>
      <c r="K431" s="211"/>
      <c r="L431" s="11"/>
      <c r="M431" s="237"/>
      <c r="N431" s="237"/>
      <c r="O431" s="237"/>
      <c r="P431" s="237"/>
      <c r="Q431" s="9"/>
      <c r="R431" s="16"/>
      <c r="S431" s="16"/>
      <c r="T431" s="16"/>
    </row>
    <row r="432" spans="2:20" s="17" customFormat="1" ht="15">
      <c r="B432" s="43"/>
      <c r="C432" s="238"/>
      <c r="D432" s="238"/>
      <c r="E432" s="238"/>
      <c r="F432" s="238"/>
      <c r="G432" s="10"/>
      <c r="H432" s="211"/>
      <c r="I432" s="211"/>
      <c r="J432" s="211"/>
      <c r="K432" s="211"/>
      <c r="L432" s="11"/>
      <c r="M432" s="237"/>
      <c r="N432" s="237"/>
      <c r="O432" s="237"/>
      <c r="P432" s="237"/>
      <c r="Q432" s="9"/>
      <c r="R432" s="16"/>
      <c r="S432" s="16"/>
      <c r="T432" s="16"/>
    </row>
    <row r="433" spans="2:20" s="17" customFormat="1" ht="15">
      <c r="B433" s="43"/>
      <c r="C433" s="238"/>
      <c r="D433" s="238"/>
      <c r="E433" s="238"/>
      <c r="F433" s="238"/>
      <c r="G433" s="10"/>
      <c r="H433" s="211"/>
      <c r="I433" s="211"/>
      <c r="J433" s="211"/>
      <c r="K433" s="211"/>
      <c r="L433" s="11"/>
      <c r="M433" s="237"/>
      <c r="N433" s="237"/>
      <c r="O433" s="237"/>
      <c r="P433" s="237"/>
      <c r="Q433" s="9"/>
      <c r="R433" s="16"/>
      <c r="S433" s="16"/>
      <c r="T433" s="16"/>
    </row>
    <row r="434" spans="2:20" s="17" customFormat="1" ht="15">
      <c r="B434" s="43"/>
      <c r="C434" s="238"/>
      <c r="D434" s="238"/>
      <c r="E434" s="238"/>
      <c r="F434" s="238"/>
      <c r="G434" s="10"/>
      <c r="H434" s="211"/>
      <c r="I434" s="211"/>
      <c r="J434" s="211"/>
      <c r="K434" s="211"/>
      <c r="L434" s="11"/>
      <c r="M434" s="237"/>
      <c r="N434" s="237"/>
      <c r="O434" s="237"/>
      <c r="P434" s="237"/>
      <c r="Q434" s="9"/>
      <c r="R434" s="16"/>
      <c r="S434" s="16"/>
      <c r="T434" s="16"/>
    </row>
    <row r="435" spans="2:20" s="17" customFormat="1" ht="15">
      <c r="B435" s="43"/>
      <c r="C435" s="238"/>
      <c r="D435" s="238"/>
      <c r="E435" s="238"/>
      <c r="F435" s="238"/>
      <c r="G435" s="10"/>
      <c r="H435" s="211"/>
      <c r="I435" s="211"/>
      <c r="J435" s="211"/>
      <c r="K435" s="211"/>
      <c r="L435" s="11"/>
      <c r="M435" s="237"/>
      <c r="N435" s="237"/>
      <c r="O435" s="237"/>
      <c r="P435" s="237"/>
      <c r="Q435" s="9"/>
      <c r="R435" s="16"/>
      <c r="S435" s="16"/>
      <c r="T435" s="16"/>
    </row>
    <row r="436" spans="2:20" s="17" customFormat="1" ht="15">
      <c r="B436" s="43"/>
      <c r="C436" s="238"/>
      <c r="D436" s="238"/>
      <c r="E436" s="238"/>
      <c r="F436" s="238"/>
      <c r="G436" s="10"/>
      <c r="H436" s="211"/>
      <c r="I436" s="211"/>
      <c r="J436" s="211"/>
      <c r="K436" s="211"/>
      <c r="L436" s="11"/>
      <c r="M436" s="237"/>
      <c r="N436" s="237"/>
      <c r="O436" s="237"/>
      <c r="P436" s="237"/>
      <c r="Q436" s="9"/>
      <c r="R436" s="16"/>
      <c r="S436" s="16"/>
      <c r="T436" s="16"/>
    </row>
    <row r="437" spans="2:20" s="17" customFormat="1" ht="15">
      <c r="B437" s="43"/>
      <c r="C437" s="237"/>
      <c r="D437" s="237"/>
      <c r="E437" s="237"/>
      <c r="F437" s="237"/>
      <c r="G437" s="10"/>
      <c r="H437" s="211"/>
      <c r="I437" s="211"/>
      <c r="J437" s="211"/>
      <c r="K437" s="211"/>
      <c r="L437" s="11"/>
      <c r="M437" s="237"/>
      <c r="N437" s="237"/>
      <c r="O437" s="237"/>
      <c r="P437" s="237"/>
      <c r="Q437" s="9"/>
      <c r="R437" s="16"/>
      <c r="S437" s="16"/>
      <c r="T437" s="16"/>
    </row>
    <row r="438" spans="2:20" s="17" customFormat="1" ht="15">
      <c r="B438" s="43"/>
      <c r="C438" s="237"/>
      <c r="D438" s="237"/>
      <c r="E438" s="237"/>
      <c r="F438" s="237"/>
      <c r="G438" s="10"/>
      <c r="H438" s="211"/>
      <c r="I438" s="211"/>
      <c r="J438" s="211"/>
      <c r="K438" s="211"/>
      <c r="L438" s="11"/>
      <c r="M438" s="237"/>
      <c r="N438" s="237"/>
      <c r="O438" s="237"/>
      <c r="P438" s="237"/>
      <c r="Q438" s="9"/>
      <c r="R438" s="16"/>
      <c r="S438" s="16"/>
      <c r="T438" s="16"/>
    </row>
    <row r="439" spans="2:20" s="17" customFormat="1" ht="15">
      <c r="B439" s="43"/>
      <c r="C439" s="237"/>
      <c r="D439" s="237"/>
      <c r="E439" s="237"/>
      <c r="F439" s="237"/>
      <c r="G439" s="10"/>
      <c r="H439" s="211"/>
      <c r="I439" s="211"/>
      <c r="J439" s="211"/>
      <c r="K439" s="211"/>
      <c r="L439" s="11"/>
      <c r="M439" s="237"/>
      <c r="N439" s="237"/>
      <c r="O439" s="237"/>
      <c r="P439" s="237"/>
      <c r="Q439" s="9"/>
      <c r="R439" s="16"/>
      <c r="S439" s="16"/>
      <c r="T439" s="16"/>
    </row>
    <row r="440" spans="2:20" s="17" customFormat="1" ht="15">
      <c r="B440" s="43"/>
      <c r="C440" s="237"/>
      <c r="D440" s="237"/>
      <c r="E440" s="237"/>
      <c r="F440" s="237"/>
      <c r="G440" s="10"/>
      <c r="H440" s="211"/>
      <c r="I440" s="211"/>
      <c r="J440" s="211"/>
      <c r="K440" s="211"/>
      <c r="L440" s="11"/>
      <c r="M440" s="237"/>
      <c r="N440" s="237"/>
      <c r="O440" s="237"/>
      <c r="P440" s="237"/>
      <c r="Q440" s="9"/>
      <c r="R440" s="16"/>
      <c r="S440" s="16"/>
      <c r="T440" s="16"/>
    </row>
    <row r="441" spans="2:20" s="17" customFormat="1" ht="15">
      <c r="B441" s="43"/>
      <c r="C441" s="237"/>
      <c r="D441" s="237"/>
      <c r="E441" s="237"/>
      <c r="F441" s="237"/>
      <c r="G441" s="10"/>
      <c r="H441" s="211"/>
      <c r="I441" s="211"/>
      <c r="J441" s="211"/>
      <c r="K441" s="211"/>
      <c r="L441" s="11"/>
      <c r="M441" s="237"/>
      <c r="N441" s="237"/>
      <c r="O441" s="237"/>
      <c r="P441" s="237"/>
      <c r="Q441" s="9"/>
      <c r="R441" s="16"/>
      <c r="S441" s="16"/>
      <c r="T441" s="16"/>
    </row>
    <row r="442" spans="2:20" s="17" customFormat="1" ht="15">
      <c r="B442" s="43"/>
      <c r="C442" s="237"/>
      <c r="D442" s="237"/>
      <c r="E442" s="239"/>
      <c r="F442" s="239"/>
      <c r="G442" s="31"/>
      <c r="H442" s="212"/>
      <c r="I442" s="212"/>
      <c r="J442" s="212"/>
      <c r="K442" s="212"/>
      <c r="L442" s="32"/>
      <c r="M442" s="239"/>
      <c r="N442" s="239"/>
      <c r="O442" s="239"/>
      <c r="P442" s="239"/>
      <c r="Q442" s="30"/>
      <c r="R442" s="16"/>
      <c r="S442" s="16"/>
      <c r="T442" s="16"/>
    </row>
    <row r="443" spans="2:20" s="17" customFormat="1" ht="15">
      <c r="B443" s="43"/>
      <c r="C443" s="237"/>
      <c r="D443" s="237"/>
      <c r="E443" s="239"/>
      <c r="F443" s="239"/>
      <c r="G443" s="31"/>
      <c r="H443" s="212"/>
      <c r="I443" s="212"/>
      <c r="J443" s="212"/>
      <c r="K443" s="212"/>
      <c r="L443" s="32"/>
      <c r="M443" s="239"/>
      <c r="N443" s="239"/>
      <c r="O443" s="239"/>
      <c r="P443" s="239"/>
      <c r="Q443" s="30"/>
      <c r="R443" s="16"/>
      <c r="S443" s="16"/>
      <c r="T443" s="16"/>
    </row>
    <row r="444" spans="2:20" s="17" customFormat="1" ht="15">
      <c r="B444" s="43"/>
      <c r="C444" s="237"/>
      <c r="D444" s="237"/>
      <c r="E444" s="239"/>
      <c r="F444" s="239"/>
      <c r="G444" s="31"/>
      <c r="H444" s="212"/>
      <c r="I444" s="212"/>
      <c r="J444" s="212"/>
      <c r="K444" s="212"/>
      <c r="L444" s="32"/>
      <c r="M444" s="239"/>
      <c r="N444" s="239"/>
      <c r="O444" s="239"/>
      <c r="P444" s="239"/>
      <c r="Q444" s="30"/>
      <c r="R444" s="16"/>
      <c r="S444" s="16"/>
      <c r="T444" s="16"/>
    </row>
    <row r="445" spans="2:20" s="17" customFormat="1" ht="15">
      <c r="B445" s="43"/>
      <c r="C445" s="237"/>
      <c r="D445" s="237"/>
      <c r="E445" s="239"/>
      <c r="F445" s="239"/>
      <c r="G445" s="31"/>
      <c r="H445" s="212"/>
      <c r="I445" s="212"/>
      <c r="J445" s="212"/>
      <c r="K445" s="212"/>
      <c r="L445" s="32"/>
      <c r="M445" s="239"/>
      <c r="N445" s="239"/>
      <c r="O445" s="239"/>
      <c r="P445" s="239"/>
      <c r="Q445" s="30"/>
      <c r="R445" s="16"/>
      <c r="S445" s="16"/>
      <c r="T445" s="16"/>
    </row>
    <row r="446" spans="2:20" s="17" customFormat="1" ht="15">
      <c r="B446" s="43"/>
      <c r="C446" s="237"/>
      <c r="D446" s="237"/>
      <c r="E446" s="239"/>
      <c r="F446" s="239"/>
      <c r="G446" s="31"/>
      <c r="H446" s="212"/>
      <c r="I446" s="212"/>
      <c r="J446" s="212"/>
      <c r="K446" s="212"/>
      <c r="L446" s="32"/>
      <c r="M446" s="239"/>
      <c r="N446" s="239"/>
      <c r="O446" s="239"/>
      <c r="P446" s="239"/>
      <c r="Q446" s="30"/>
      <c r="R446" s="16"/>
      <c r="S446" s="16"/>
      <c r="T446" s="16"/>
    </row>
    <row r="447" spans="2:20" s="17" customFormat="1" ht="15">
      <c r="B447" s="43"/>
      <c r="C447" s="237"/>
      <c r="D447" s="237"/>
      <c r="E447" s="239"/>
      <c r="F447" s="239"/>
      <c r="G447" s="31"/>
      <c r="H447" s="212"/>
      <c r="I447" s="212"/>
      <c r="J447" s="212"/>
      <c r="K447" s="212"/>
      <c r="L447" s="32"/>
      <c r="M447" s="239"/>
      <c r="N447" s="239"/>
      <c r="O447" s="239"/>
      <c r="P447" s="239"/>
      <c r="Q447" s="30"/>
      <c r="R447" s="16"/>
      <c r="S447" s="16"/>
      <c r="T447" s="16"/>
    </row>
    <row r="448" spans="2:20" s="17" customFormat="1" ht="15">
      <c r="B448" s="43"/>
      <c r="C448" s="237"/>
      <c r="D448" s="237"/>
      <c r="E448" s="239"/>
      <c r="F448" s="239"/>
      <c r="G448" s="31"/>
      <c r="H448" s="212"/>
      <c r="I448" s="212"/>
      <c r="J448" s="212"/>
      <c r="K448" s="212"/>
      <c r="L448" s="32"/>
      <c r="M448" s="239"/>
      <c r="N448" s="239"/>
      <c r="O448" s="239"/>
      <c r="P448" s="239"/>
      <c r="Q448" s="30"/>
      <c r="R448" s="16"/>
      <c r="S448" s="16"/>
      <c r="T448" s="16"/>
    </row>
    <row r="449" spans="2:20" s="17" customFormat="1" ht="15">
      <c r="B449" s="43"/>
      <c r="C449" s="237"/>
      <c r="D449" s="237"/>
      <c r="E449" s="239"/>
      <c r="F449" s="239"/>
      <c r="G449" s="31"/>
      <c r="H449" s="212"/>
      <c r="I449" s="212"/>
      <c r="J449" s="212"/>
      <c r="K449" s="212"/>
      <c r="L449" s="32"/>
      <c r="M449" s="239"/>
      <c r="N449" s="239"/>
      <c r="O449" s="239"/>
      <c r="P449" s="239"/>
      <c r="Q449" s="30"/>
      <c r="R449" s="16"/>
      <c r="S449" s="16"/>
      <c r="T449" s="16"/>
    </row>
    <row r="450" spans="2:20" s="17" customFormat="1" ht="15">
      <c r="B450" s="43"/>
      <c r="C450" s="237"/>
      <c r="D450" s="237"/>
      <c r="E450" s="239"/>
      <c r="F450" s="239"/>
      <c r="G450" s="31"/>
      <c r="H450" s="212"/>
      <c r="I450" s="212"/>
      <c r="J450" s="212"/>
      <c r="K450" s="212"/>
      <c r="L450" s="32"/>
      <c r="M450" s="239"/>
      <c r="N450" s="239"/>
      <c r="O450" s="239"/>
      <c r="P450" s="239"/>
      <c r="Q450" s="30"/>
      <c r="R450" s="16"/>
      <c r="S450" s="16"/>
      <c r="T450" s="16"/>
    </row>
    <row r="451" spans="2:20" s="17" customFormat="1" ht="15">
      <c r="B451" s="43"/>
      <c r="C451" s="237"/>
      <c r="D451" s="237"/>
      <c r="E451" s="239"/>
      <c r="F451" s="239"/>
      <c r="G451" s="31"/>
      <c r="H451" s="212"/>
      <c r="I451" s="212"/>
      <c r="J451" s="212"/>
      <c r="K451" s="212"/>
      <c r="L451" s="32"/>
      <c r="M451" s="239"/>
      <c r="N451" s="239"/>
      <c r="O451" s="239"/>
      <c r="P451" s="239"/>
      <c r="Q451" s="30"/>
      <c r="R451" s="16"/>
      <c r="S451" s="16"/>
      <c r="T451" s="16"/>
    </row>
    <row r="452" spans="2:20" s="17" customFormat="1" ht="15">
      <c r="B452" s="43"/>
      <c r="C452" s="237"/>
      <c r="D452" s="237"/>
      <c r="E452" s="239"/>
      <c r="F452" s="239"/>
      <c r="G452" s="31"/>
      <c r="H452" s="212"/>
      <c r="I452" s="212"/>
      <c r="J452" s="212"/>
      <c r="K452" s="212"/>
      <c r="L452" s="32"/>
      <c r="M452" s="239"/>
      <c r="N452" s="239"/>
      <c r="O452" s="239"/>
      <c r="P452" s="239"/>
      <c r="Q452" s="30"/>
      <c r="R452" s="16"/>
      <c r="S452" s="16"/>
      <c r="T452" s="16"/>
    </row>
    <row r="453" spans="2:20" s="17" customFormat="1" ht="15">
      <c r="B453" s="43"/>
      <c r="C453" s="237"/>
      <c r="D453" s="237"/>
      <c r="E453" s="239"/>
      <c r="F453" s="239"/>
      <c r="G453" s="31"/>
      <c r="H453" s="212"/>
      <c r="I453" s="212"/>
      <c r="J453" s="212"/>
      <c r="K453" s="212"/>
      <c r="L453" s="32"/>
      <c r="M453" s="239"/>
      <c r="N453" s="239"/>
      <c r="O453" s="239"/>
      <c r="P453" s="239"/>
      <c r="Q453" s="30"/>
      <c r="R453" s="16"/>
      <c r="S453" s="16"/>
      <c r="T453" s="16"/>
    </row>
    <row r="454" spans="2:20" s="17" customFormat="1" ht="15">
      <c r="B454" s="43"/>
      <c r="C454" s="237"/>
      <c r="D454" s="237"/>
      <c r="E454" s="239"/>
      <c r="F454" s="239"/>
      <c r="G454" s="31"/>
      <c r="H454" s="212"/>
      <c r="I454" s="212"/>
      <c r="J454" s="212"/>
      <c r="K454" s="212"/>
      <c r="L454" s="32"/>
      <c r="M454" s="239"/>
      <c r="N454" s="239"/>
      <c r="O454" s="239"/>
      <c r="P454" s="239"/>
      <c r="Q454" s="30"/>
      <c r="R454" s="16"/>
      <c r="S454" s="16"/>
      <c r="T454" s="16"/>
    </row>
    <row r="455" spans="2:20" s="17" customFormat="1" ht="15">
      <c r="B455" s="43"/>
      <c r="C455" s="237"/>
      <c r="D455" s="237"/>
      <c r="E455" s="239"/>
      <c r="F455" s="239"/>
      <c r="G455" s="31"/>
      <c r="H455" s="212"/>
      <c r="I455" s="212"/>
      <c r="J455" s="212"/>
      <c r="K455" s="212"/>
      <c r="L455" s="32"/>
      <c r="M455" s="239"/>
      <c r="N455" s="239"/>
      <c r="O455" s="239"/>
      <c r="P455" s="239"/>
      <c r="Q455" s="30"/>
      <c r="R455" s="16"/>
      <c r="S455" s="16"/>
      <c r="T455" s="16"/>
    </row>
    <row r="456" spans="2:20" s="17" customFormat="1" ht="15">
      <c r="B456" s="43"/>
      <c r="C456" s="237"/>
      <c r="D456" s="237"/>
      <c r="E456" s="239"/>
      <c r="F456" s="239"/>
      <c r="G456" s="31"/>
      <c r="H456" s="212"/>
      <c r="I456" s="212"/>
      <c r="J456" s="212"/>
      <c r="K456" s="212"/>
      <c r="L456" s="32"/>
      <c r="M456" s="239"/>
      <c r="N456" s="239"/>
      <c r="O456" s="239"/>
      <c r="P456" s="239"/>
      <c r="Q456" s="30"/>
      <c r="R456" s="16"/>
      <c r="S456" s="16"/>
      <c r="T456" s="16"/>
    </row>
    <row r="457" spans="2:20" s="17" customFormat="1" ht="15">
      <c r="B457" s="43"/>
      <c r="C457" s="237"/>
      <c r="D457" s="237"/>
      <c r="E457" s="239"/>
      <c r="F457" s="239"/>
      <c r="G457" s="31"/>
      <c r="H457" s="212"/>
      <c r="I457" s="212"/>
      <c r="J457" s="212"/>
      <c r="K457" s="212"/>
      <c r="L457" s="32"/>
      <c r="M457" s="239"/>
      <c r="N457" s="239"/>
      <c r="O457" s="239"/>
      <c r="P457" s="239"/>
      <c r="Q457" s="30"/>
      <c r="R457" s="16"/>
      <c r="S457" s="16"/>
      <c r="T457" s="16"/>
    </row>
    <row r="458" spans="2:20" s="17" customFormat="1" ht="15">
      <c r="B458" s="43"/>
      <c r="C458" s="237"/>
      <c r="D458" s="237"/>
      <c r="E458" s="239"/>
      <c r="F458" s="239"/>
      <c r="G458" s="31"/>
      <c r="H458" s="212"/>
      <c r="I458" s="212"/>
      <c r="J458" s="212"/>
      <c r="K458" s="212"/>
      <c r="L458" s="32"/>
      <c r="M458" s="239"/>
      <c r="N458" s="239"/>
      <c r="O458" s="239"/>
      <c r="P458" s="239"/>
      <c r="Q458" s="30"/>
      <c r="R458" s="16"/>
      <c r="S458" s="16"/>
      <c r="T458" s="16"/>
    </row>
    <row r="459" spans="2:20" s="17" customFormat="1" ht="15">
      <c r="B459" s="43"/>
      <c r="C459" s="237"/>
      <c r="D459" s="237"/>
      <c r="E459" s="239"/>
      <c r="F459" s="239"/>
      <c r="G459" s="31"/>
      <c r="H459" s="212"/>
      <c r="I459" s="212"/>
      <c r="J459" s="212"/>
      <c r="K459" s="212"/>
      <c r="L459" s="32"/>
      <c r="M459" s="239"/>
      <c r="N459" s="239"/>
      <c r="O459" s="239"/>
      <c r="P459" s="239"/>
      <c r="Q459" s="30"/>
      <c r="R459" s="16"/>
      <c r="S459" s="16"/>
      <c r="T459" s="16"/>
    </row>
    <row r="460" spans="2:20" s="17" customFormat="1" ht="15">
      <c r="B460" s="43"/>
      <c r="C460" s="237"/>
      <c r="D460" s="237"/>
      <c r="E460" s="239"/>
      <c r="F460" s="239"/>
      <c r="G460" s="31"/>
      <c r="H460" s="212"/>
      <c r="I460" s="212"/>
      <c r="J460" s="212"/>
      <c r="K460" s="212"/>
      <c r="L460" s="32"/>
      <c r="M460" s="239"/>
      <c r="N460" s="239"/>
      <c r="O460" s="239"/>
      <c r="P460" s="239"/>
      <c r="Q460" s="30"/>
      <c r="R460" s="16"/>
      <c r="S460" s="16"/>
      <c r="T460" s="16"/>
    </row>
    <row r="461" spans="2:20" s="17" customFormat="1" ht="15">
      <c r="B461" s="43"/>
      <c r="C461" s="237"/>
      <c r="D461" s="237"/>
      <c r="E461" s="239"/>
      <c r="F461" s="239"/>
      <c r="G461" s="31"/>
      <c r="H461" s="212"/>
      <c r="I461" s="212"/>
      <c r="J461" s="212"/>
      <c r="K461" s="212"/>
      <c r="L461" s="32"/>
      <c r="M461" s="239"/>
      <c r="N461" s="239"/>
      <c r="O461" s="239"/>
      <c r="P461" s="239"/>
      <c r="Q461" s="30"/>
      <c r="R461" s="16"/>
      <c r="S461" s="16"/>
      <c r="T461" s="16"/>
    </row>
  </sheetData>
  <sheetProtection/>
  <mergeCells count="5">
    <mergeCell ref="A2:A3"/>
    <mergeCell ref="M2:Q2"/>
    <mergeCell ref="B2:B3"/>
    <mergeCell ref="C2:G2"/>
    <mergeCell ref="H2:L2"/>
  </mergeCells>
  <printOptions/>
  <pageMargins left="0.15748031496062992" right="0.07874015748031496" top="1.1811023622047245" bottom="0.5905511811023623" header="0.1968503937007874" footer="0.1968503937007874"/>
  <pageSetup firstPageNumber="78" useFirstPageNumber="1" horizontalDpi="600" verticalDpi="600" orientation="landscape" paperSize="9" scale="70" r:id="rId1"/>
  <headerFooter alignWithMargins="0">
    <oddFooter>&amp;R&amp;12&amp;P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42"/>
  <sheetViews>
    <sheetView tabSelected="1" zoomScalePageLayoutView="0" workbookViewId="0" topLeftCell="A1">
      <pane xSplit="2" ySplit="4" topLeftCell="C30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344" sqref="J344"/>
    </sheetView>
  </sheetViews>
  <sheetFormatPr defaultColWidth="9.00390625" defaultRowHeight="12.75"/>
  <cols>
    <col min="1" max="1" width="54.625" style="0" customWidth="1"/>
    <col min="2" max="2" width="7.875" style="78" customWidth="1"/>
    <col min="3" max="5" width="11.00390625" style="248" customWidth="1"/>
    <col min="6" max="6" width="10.25390625" style="248" customWidth="1"/>
    <col min="7" max="7" width="6.125" style="78" customWidth="1"/>
    <col min="8" max="10" width="11.00390625" style="248" customWidth="1"/>
    <col min="11" max="11" width="10.00390625" style="248" customWidth="1"/>
    <col min="12" max="12" width="6.125" style="78" customWidth="1"/>
    <col min="13" max="15" width="11.00390625" style="248" customWidth="1"/>
    <col min="16" max="16" width="10.125" style="248" customWidth="1"/>
    <col min="17" max="17" width="6.125" style="78" customWidth="1"/>
  </cols>
  <sheetData>
    <row r="1" spans="1:14" ht="12.75">
      <c r="A1" s="183" t="s">
        <v>225</v>
      </c>
      <c r="B1" s="83"/>
      <c r="C1" s="251"/>
      <c r="D1" s="252"/>
      <c r="E1" s="253"/>
      <c r="F1" s="253"/>
      <c r="G1" s="86"/>
      <c r="H1" s="247"/>
      <c r="I1" s="247"/>
      <c r="J1" s="247"/>
      <c r="K1" s="247"/>
      <c r="L1" s="86"/>
      <c r="M1" s="247"/>
      <c r="N1" s="247"/>
    </row>
    <row r="2" spans="1:17" ht="13.5" customHeight="1" thickBot="1">
      <c r="A2" s="183" t="s">
        <v>223</v>
      </c>
      <c r="B2" s="84"/>
      <c r="C2" s="249"/>
      <c r="D2" s="249"/>
      <c r="E2" s="249"/>
      <c r="F2" s="249"/>
      <c r="G2" s="184"/>
      <c r="H2" s="249"/>
      <c r="I2" s="249"/>
      <c r="J2" s="249"/>
      <c r="K2" s="249"/>
      <c r="L2" s="184"/>
      <c r="M2" s="249"/>
      <c r="N2" s="249"/>
      <c r="O2" s="238"/>
      <c r="P2" s="238"/>
      <c r="Q2" s="1"/>
    </row>
    <row r="3" spans="1:18" ht="22.5" customHeight="1">
      <c r="A3" s="396" t="s">
        <v>23</v>
      </c>
      <c r="B3" s="396" t="s">
        <v>568</v>
      </c>
      <c r="C3" s="408" t="s">
        <v>35</v>
      </c>
      <c r="D3" s="409"/>
      <c r="E3" s="409"/>
      <c r="F3" s="409"/>
      <c r="G3" s="410"/>
      <c r="H3" s="404" t="s">
        <v>34</v>
      </c>
      <c r="I3" s="405"/>
      <c r="J3" s="405"/>
      <c r="K3" s="405"/>
      <c r="L3" s="406"/>
      <c r="M3" s="398" t="s">
        <v>36</v>
      </c>
      <c r="N3" s="399"/>
      <c r="O3" s="399"/>
      <c r="P3" s="399"/>
      <c r="Q3" s="400"/>
      <c r="R3" s="138"/>
    </row>
    <row r="4" spans="1:18" ht="30" customHeight="1" thickBot="1">
      <c r="A4" s="407"/>
      <c r="B4" s="397"/>
      <c r="C4" s="197" t="s">
        <v>559</v>
      </c>
      <c r="D4" s="198" t="s">
        <v>560</v>
      </c>
      <c r="E4" s="199" t="s">
        <v>561</v>
      </c>
      <c r="F4" s="199" t="s">
        <v>562</v>
      </c>
      <c r="G4" s="169" t="s">
        <v>13</v>
      </c>
      <c r="H4" s="197" t="s">
        <v>559</v>
      </c>
      <c r="I4" s="198" t="s">
        <v>560</v>
      </c>
      <c r="J4" s="199" t="s">
        <v>561</v>
      </c>
      <c r="K4" s="199" t="s">
        <v>562</v>
      </c>
      <c r="L4" s="169" t="s">
        <v>13</v>
      </c>
      <c r="M4" s="197" t="s">
        <v>559</v>
      </c>
      <c r="N4" s="198" t="s">
        <v>560</v>
      </c>
      <c r="O4" s="199" t="s">
        <v>561</v>
      </c>
      <c r="P4" s="199" t="s">
        <v>562</v>
      </c>
      <c r="Q4" s="169" t="s">
        <v>13</v>
      </c>
      <c r="R4" s="138"/>
    </row>
    <row r="5" spans="1:17" s="107" customFormat="1" ht="22.5" customHeight="1">
      <c r="A5" s="173" t="s">
        <v>0</v>
      </c>
      <c r="B5" s="106"/>
      <c r="C5" s="231">
        <f>C7-C6</f>
        <v>940528.0999999999</v>
      </c>
      <c r="D5" s="231">
        <f>D7-D6</f>
        <v>2315072.589</v>
      </c>
      <c r="E5" s="231">
        <f>E7-E6</f>
        <v>1489963.9229999997</v>
      </c>
      <c r="F5" s="232">
        <f aca="true" t="shared" si="0" ref="F5:F40">E5-D5</f>
        <v>-825108.6660000004</v>
      </c>
      <c r="G5" s="82">
        <f aca="true" t="shared" si="1" ref="G5:G40">E5/D5*100</f>
        <v>64.35927452467452</v>
      </c>
      <c r="H5" s="231">
        <f>H7-H6</f>
        <v>605821.4</v>
      </c>
      <c r="I5" s="231">
        <f>I7-I6</f>
        <v>1526137.1130000001</v>
      </c>
      <c r="J5" s="250">
        <f>J7-J6</f>
        <v>971871.576</v>
      </c>
      <c r="K5" s="232">
        <f aca="true" t="shared" si="2" ref="K5:K40">J5-I5</f>
        <v>-554265.5370000001</v>
      </c>
      <c r="L5" s="82">
        <f aca="true" t="shared" si="3" ref="L5:L40">J5/I5*100</f>
        <v>63.68179947406861</v>
      </c>
      <c r="M5" s="231">
        <f>M7-M6</f>
        <v>334706.69999999995</v>
      </c>
      <c r="N5" s="231">
        <f>N7-N6</f>
        <v>788935.476</v>
      </c>
      <c r="O5" s="231">
        <f>O7-O6</f>
        <v>518092.347</v>
      </c>
      <c r="P5" s="232">
        <f aca="true" t="shared" si="4" ref="P5:P40">O5-N5</f>
        <v>-270843.129</v>
      </c>
      <c r="Q5" s="82">
        <f aca="true" t="shared" si="5" ref="Q5:Q40">O5/N5*100</f>
        <v>65.66979971883023</v>
      </c>
    </row>
    <row r="6" spans="1:17" s="107" customFormat="1" ht="22.5" customHeight="1">
      <c r="A6" s="80" t="s">
        <v>193</v>
      </c>
      <c r="B6" s="79"/>
      <c r="C6" s="233">
        <f aca="true" t="shared" si="6" ref="C6:E7">C9+C39</f>
        <v>2593.3</v>
      </c>
      <c r="D6" s="233">
        <f t="shared" si="6"/>
        <v>17841.7</v>
      </c>
      <c r="E6" s="233">
        <f t="shared" si="6"/>
        <v>27607.333000000002</v>
      </c>
      <c r="F6" s="210">
        <f t="shared" si="0"/>
        <v>9765.633000000002</v>
      </c>
      <c r="G6" s="150">
        <f t="shared" si="1"/>
        <v>154.7348795238122</v>
      </c>
      <c r="H6" s="353">
        <f aca="true" t="shared" si="7" ref="H6:J7">H9+H39</f>
        <v>0</v>
      </c>
      <c r="I6" s="353">
        <f t="shared" si="7"/>
        <v>0</v>
      </c>
      <c r="J6" s="233">
        <f t="shared" si="7"/>
        <v>1564.07</v>
      </c>
      <c r="K6" s="210">
        <f t="shared" si="2"/>
        <v>1564.07</v>
      </c>
      <c r="L6" s="342" t="e">
        <f t="shared" si="3"/>
        <v>#DIV/0!</v>
      </c>
      <c r="M6" s="233">
        <f aca="true" t="shared" si="8" ref="M6:O7">M9+M39</f>
        <v>2593.3</v>
      </c>
      <c r="N6" s="233">
        <f t="shared" si="8"/>
        <v>17841.7</v>
      </c>
      <c r="O6" s="233">
        <f t="shared" si="8"/>
        <v>26043.263000000003</v>
      </c>
      <c r="P6" s="210">
        <f t="shared" si="4"/>
        <v>8201.563000000002</v>
      </c>
      <c r="Q6" s="150">
        <f t="shared" si="5"/>
        <v>145.96850636430386</v>
      </c>
    </row>
    <row r="7" spans="1:17" s="107" customFormat="1" ht="22.5" customHeight="1">
      <c r="A7" s="80" t="s">
        <v>194</v>
      </c>
      <c r="B7" s="80"/>
      <c r="C7" s="233">
        <f t="shared" si="6"/>
        <v>943121.3999999999</v>
      </c>
      <c r="D7" s="233">
        <f t="shared" si="6"/>
        <v>2332914.2890000003</v>
      </c>
      <c r="E7" s="233">
        <f t="shared" si="6"/>
        <v>1517571.2559999998</v>
      </c>
      <c r="F7" s="210">
        <f t="shared" si="0"/>
        <v>-815343.0330000005</v>
      </c>
      <c r="G7" s="150">
        <f t="shared" si="1"/>
        <v>65.05045055257919</v>
      </c>
      <c r="H7" s="233">
        <f t="shared" si="7"/>
        <v>605821.4</v>
      </c>
      <c r="I7" s="233">
        <f t="shared" si="7"/>
        <v>1526137.1130000001</v>
      </c>
      <c r="J7" s="233">
        <f t="shared" si="7"/>
        <v>973435.646</v>
      </c>
      <c r="K7" s="210">
        <f t="shared" si="2"/>
        <v>-552701.4670000002</v>
      </c>
      <c r="L7" s="150">
        <f t="shared" si="3"/>
        <v>63.78428502315047</v>
      </c>
      <c r="M7" s="233">
        <f t="shared" si="8"/>
        <v>337299.99999999994</v>
      </c>
      <c r="N7" s="233">
        <f t="shared" si="8"/>
        <v>806777.176</v>
      </c>
      <c r="O7" s="233">
        <f t="shared" si="8"/>
        <v>544135.61</v>
      </c>
      <c r="P7" s="210">
        <f t="shared" si="4"/>
        <v>-262641.566</v>
      </c>
      <c r="Q7" s="150">
        <f t="shared" si="5"/>
        <v>67.44558797483879</v>
      </c>
    </row>
    <row r="8" spans="1:17" s="107" customFormat="1" ht="22.5" customHeight="1">
      <c r="A8" s="80" t="s">
        <v>189</v>
      </c>
      <c r="B8" s="80"/>
      <c r="C8" s="233">
        <f>C10-C9</f>
        <v>462142.5</v>
      </c>
      <c r="D8" s="233">
        <f>D10-D9</f>
        <v>1009751.4050000001</v>
      </c>
      <c r="E8" s="233">
        <f>E10-E9</f>
        <v>741256.3779999999</v>
      </c>
      <c r="F8" s="210">
        <f t="shared" si="0"/>
        <v>-268495.02700000023</v>
      </c>
      <c r="G8" s="150">
        <f t="shared" si="1"/>
        <v>73.40978921440568</v>
      </c>
      <c r="H8" s="233">
        <f>H10-H9</f>
        <v>143553.4</v>
      </c>
      <c r="I8" s="233">
        <f>I10-I9</f>
        <v>323549.813</v>
      </c>
      <c r="J8" s="233">
        <f>J10-J9</f>
        <v>288301.562</v>
      </c>
      <c r="K8" s="210">
        <f t="shared" si="2"/>
        <v>-35248.25100000005</v>
      </c>
      <c r="L8" s="150">
        <f t="shared" si="3"/>
        <v>89.10577302667147</v>
      </c>
      <c r="M8" s="233">
        <f>M10-M9</f>
        <v>318589.1</v>
      </c>
      <c r="N8" s="233">
        <f>N10-N9</f>
        <v>686201.5920000001</v>
      </c>
      <c r="O8" s="233">
        <f>O10-O9</f>
        <v>452954.816</v>
      </c>
      <c r="P8" s="210">
        <f t="shared" si="4"/>
        <v>-233246.77600000007</v>
      </c>
      <c r="Q8" s="150">
        <f t="shared" si="5"/>
        <v>66.00900104003256</v>
      </c>
    </row>
    <row r="9" spans="1:17" s="107" customFormat="1" ht="22.5" customHeight="1">
      <c r="A9" s="80" t="s">
        <v>193</v>
      </c>
      <c r="B9" s="80"/>
      <c r="C9" s="233">
        <f aca="true" t="shared" si="9" ref="C9:E10">C12+C15+C18+C21+C24+C27+C30+C33+C36</f>
        <v>2593.3</v>
      </c>
      <c r="D9" s="233">
        <f t="shared" si="9"/>
        <v>17841.7</v>
      </c>
      <c r="E9" s="233">
        <f t="shared" si="9"/>
        <v>27607.333000000002</v>
      </c>
      <c r="F9" s="210">
        <f t="shared" si="0"/>
        <v>9765.633000000002</v>
      </c>
      <c r="G9" s="150">
        <f t="shared" si="1"/>
        <v>154.7348795238122</v>
      </c>
      <c r="H9" s="353">
        <f aca="true" t="shared" si="10" ref="H9:J10">H12+H15+H18+H21+H24+H27+H30+H33+H36</f>
        <v>0</v>
      </c>
      <c r="I9" s="353">
        <f t="shared" si="10"/>
        <v>0</v>
      </c>
      <c r="J9" s="233">
        <f t="shared" si="10"/>
        <v>1564.07</v>
      </c>
      <c r="K9" s="210">
        <f t="shared" si="2"/>
        <v>1564.07</v>
      </c>
      <c r="L9" s="342" t="e">
        <f t="shared" si="3"/>
        <v>#DIV/0!</v>
      </c>
      <c r="M9" s="233">
        <f aca="true" t="shared" si="11" ref="M9:O10">M12+M15+M18+M21+M24+M27+M30+M33+M36</f>
        <v>2593.3</v>
      </c>
      <c r="N9" s="233">
        <f t="shared" si="11"/>
        <v>17841.7</v>
      </c>
      <c r="O9" s="233">
        <f t="shared" si="11"/>
        <v>26043.263000000003</v>
      </c>
      <c r="P9" s="210">
        <f t="shared" si="4"/>
        <v>8201.563000000002</v>
      </c>
      <c r="Q9" s="150">
        <f t="shared" si="5"/>
        <v>145.96850636430386</v>
      </c>
    </row>
    <row r="10" spans="1:17" s="107" customFormat="1" ht="22.5" customHeight="1">
      <c r="A10" s="80" t="s">
        <v>194</v>
      </c>
      <c r="B10" s="80"/>
      <c r="C10" s="233">
        <f t="shared" si="9"/>
        <v>464735.8</v>
      </c>
      <c r="D10" s="233">
        <f t="shared" si="9"/>
        <v>1027593.1050000001</v>
      </c>
      <c r="E10" s="233">
        <f t="shared" si="9"/>
        <v>768863.7109999999</v>
      </c>
      <c r="F10" s="210">
        <f t="shared" si="0"/>
        <v>-258729.3940000002</v>
      </c>
      <c r="G10" s="150">
        <f t="shared" si="1"/>
        <v>74.8218051735565</v>
      </c>
      <c r="H10" s="233">
        <f t="shared" si="10"/>
        <v>143553.4</v>
      </c>
      <c r="I10" s="233">
        <f t="shared" si="10"/>
        <v>323549.813</v>
      </c>
      <c r="J10" s="233">
        <f t="shared" si="10"/>
        <v>289865.632</v>
      </c>
      <c r="K10" s="210">
        <f t="shared" si="2"/>
        <v>-33684.18100000004</v>
      </c>
      <c r="L10" s="150">
        <f t="shared" si="3"/>
        <v>89.58918236185164</v>
      </c>
      <c r="M10" s="233">
        <f t="shared" si="11"/>
        <v>321182.39999999997</v>
      </c>
      <c r="N10" s="233">
        <f t="shared" si="11"/>
        <v>704043.292</v>
      </c>
      <c r="O10" s="233">
        <f t="shared" si="11"/>
        <v>478998.07899999997</v>
      </c>
      <c r="P10" s="210">
        <f t="shared" si="4"/>
        <v>-225045.21300000005</v>
      </c>
      <c r="Q10" s="150">
        <f t="shared" si="5"/>
        <v>68.03531607258037</v>
      </c>
    </row>
    <row r="11" spans="1:17" s="108" customFormat="1" ht="22.5" customHeight="1">
      <c r="A11" s="81" t="s">
        <v>174</v>
      </c>
      <c r="B11" s="81" t="s">
        <v>173</v>
      </c>
      <c r="C11" s="234">
        <f>C13-C12</f>
        <v>266950.7</v>
      </c>
      <c r="D11" s="234">
        <f>D13-D12</f>
        <v>582345.694</v>
      </c>
      <c r="E11" s="234">
        <f>E13-E12</f>
        <v>436635.887</v>
      </c>
      <c r="F11" s="236">
        <f t="shared" si="0"/>
        <v>-145709.80700000003</v>
      </c>
      <c r="G11" s="151">
        <f t="shared" si="1"/>
        <v>74.97881267067461</v>
      </c>
      <c r="H11" s="234">
        <f>H13-H12</f>
        <v>64511.7</v>
      </c>
      <c r="I11" s="234">
        <f>I13-I12</f>
        <v>132298.5</v>
      </c>
      <c r="J11" s="234">
        <f>J13-J12</f>
        <v>126324.87199999999</v>
      </c>
      <c r="K11" s="236">
        <f t="shared" si="2"/>
        <v>-5973.6280000000115</v>
      </c>
      <c r="L11" s="151">
        <f t="shared" si="3"/>
        <v>95.48473489873278</v>
      </c>
      <c r="M11" s="234">
        <f>M13-M12</f>
        <v>202439</v>
      </c>
      <c r="N11" s="234">
        <f>N13-N12</f>
        <v>450047.194</v>
      </c>
      <c r="O11" s="234">
        <f>O13-O12</f>
        <v>310311.015</v>
      </c>
      <c r="P11" s="236">
        <f t="shared" si="4"/>
        <v>-139736.179</v>
      </c>
      <c r="Q11" s="151">
        <f t="shared" si="5"/>
        <v>68.95077208280517</v>
      </c>
    </row>
    <row r="12" spans="1:17" s="108" customFormat="1" ht="22.5" customHeight="1">
      <c r="A12" s="81" t="s">
        <v>193</v>
      </c>
      <c r="B12" s="81"/>
      <c r="C12" s="357">
        <f aca="true" t="shared" si="12" ref="C12:E13">H12+M12</f>
        <v>0</v>
      </c>
      <c r="D12" s="357">
        <f t="shared" si="12"/>
        <v>0</v>
      </c>
      <c r="E12" s="234">
        <f t="shared" si="12"/>
        <v>795.265</v>
      </c>
      <c r="F12" s="236">
        <f t="shared" si="0"/>
        <v>795.265</v>
      </c>
      <c r="G12" s="338" t="e">
        <f t="shared" si="1"/>
        <v>#DIV/0!</v>
      </c>
      <c r="H12" s="236"/>
      <c r="I12" s="236"/>
      <c r="J12" s="236">
        <v>202.6</v>
      </c>
      <c r="K12" s="236">
        <f t="shared" si="2"/>
        <v>202.6</v>
      </c>
      <c r="L12" s="338" t="e">
        <f t="shared" si="3"/>
        <v>#DIV/0!</v>
      </c>
      <c r="M12" s="234"/>
      <c r="N12" s="234"/>
      <c r="O12" s="234">
        <v>592.665</v>
      </c>
      <c r="P12" s="236">
        <f t="shared" si="4"/>
        <v>592.665</v>
      </c>
      <c r="Q12" s="338" t="e">
        <f t="shared" si="5"/>
        <v>#DIV/0!</v>
      </c>
    </row>
    <row r="13" spans="1:17" s="108" customFormat="1" ht="22.5" customHeight="1">
      <c r="A13" s="81" t="s">
        <v>194</v>
      </c>
      <c r="B13" s="81"/>
      <c r="C13" s="234">
        <f t="shared" si="12"/>
        <v>266950.7</v>
      </c>
      <c r="D13" s="234">
        <f t="shared" si="12"/>
        <v>582345.694</v>
      </c>
      <c r="E13" s="234">
        <f t="shared" si="12"/>
        <v>437431.152</v>
      </c>
      <c r="F13" s="236">
        <f t="shared" si="0"/>
        <v>-144914.54200000002</v>
      </c>
      <c r="G13" s="151">
        <f t="shared" si="1"/>
        <v>75.11537502671051</v>
      </c>
      <c r="H13" s="236">
        <v>64511.7</v>
      </c>
      <c r="I13" s="236">
        <v>132298.5</v>
      </c>
      <c r="J13" s="236">
        <v>126527.472</v>
      </c>
      <c r="K13" s="236">
        <f t="shared" si="2"/>
        <v>-5771.028000000006</v>
      </c>
      <c r="L13" s="151">
        <f t="shared" si="3"/>
        <v>95.63787344527715</v>
      </c>
      <c r="M13" s="234">
        <v>202439</v>
      </c>
      <c r="N13" s="234">
        <v>450047.194</v>
      </c>
      <c r="O13" s="234">
        <v>310903.68</v>
      </c>
      <c r="P13" s="236">
        <f t="shared" si="4"/>
        <v>-139143.51400000002</v>
      </c>
      <c r="Q13" s="151">
        <f t="shared" si="5"/>
        <v>69.08246160512668</v>
      </c>
    </row>
    <row r="14" spans="1:17" s="108" customFormat="1" ht="22.5" customHeight="1">
      <c r="A14" s="81" t="s">
        <v>176</v>
      </c>
      <c r="B14" s="81" t="s">
        <v>175</v>
      </c>
      <c r="C14" s="234">
        <f>C16-C15</f>
        <v>188024.8</v>
      </c>
      <c r="D14" s="234">
        <f>D16-D15</f>
        <v>419764.61100000003</v>
      </c>
      <c r="E14" s="234">
        <f>E16-E15</f>
        <v>304938.40099999995</v>
      </c>
      <c r="F14" s="236">
        <f t="shared" si="0"/>
        <v>-114826.21000000008</v>
      </c>
      <c r="G14" s="151">
        <f t="shared" si="1"/>
        <v>72.64509513404404</v>
      </c>
      <c r="H14" s="234">
        <f>H16-H15</f>
        <v>78570.7</v>
      </c>
      <c r="I14" s="234">
        <f>I16-I15</f>
        <v>170466.513</v>
      </c>
      <c r="J14" s="234">
        <f>J16-J15</f>
        <v>141217.24</v>
      </c>
      <c r="K14" s="236">
        <f t="shared" si="2"/>
        <v>-29249.273000000016</v>
      </c>
      <c r="L14" s="151">
        <f t="shared" si="3"/>
        <v>82.84163118887754</v>
      </c>
      <c r="M14" s="234">
        <f>M16-M15</f>
        <v>109454.1</v>
      </c>
      <c r="N14" s="234">
        <f>N16-N15</f>
        <v>249298.098</v>
      </c>
      <c r="O14" s="234">
        <f>O16-O15</f>
        <v>163721.161</v>
      </c>
      <c r="P14" s="236">
        <f t="shared" si="4"/>
        <v>-85576.937</v>
      </c>
      <c r="Q14" s="151">
        <f t="shared" si="5"/>
        <v>65.67284801346538</v>
      </c>
    </row>
    <row r="15" spans="1:17" s="108" customFormat="1" ht="22.5" customHeight="1">
      <c r="A15" s="81" t="s">
        <v>193</v>
      </c>
      <c r="B15" s="81"/>
      <c r="C15" s="357">
        <f aca="true" t="shared" si="13" ref="C15:E16">H15+M15</f>
        <v>0</v>
      </c>
      <c r="D15" s="234">
        <f t="shared" si="13"/>
        <v>5</v>
      </c>
      <c r="E15" s="234">
        <f t="shared" si="13"/>
        <v>2137.821</v>
      </c>
      <c r="F15" s="236">
        <f t="shared" si="0"/>
        <v>2132.821</v>
      </c>
      <c r="G15" s="338">
        <f t="shared" si="1"/>
        <v>42756.42</v>
      </c>
      <c r="H15" s="236"/>
      <c r="I15" s="236"/>
      <c r="J15" s="236">
        <v>1361.47</v>
      </c>
      <c r="K15" s="236">
        <f t="shared" si="2"/>
        <v>1361.47</v>
      </c>
      <c r="L15" s="338" t="e">
        <f t="shared" si="3"/>
        <v>#DIV/0!</v>
      </c>
      <c r="M15" s="234"/>
      <c r="N15" s="234">
        <v>5</v>
      </c>
      <c r="O15" s="234">
        <v>776.351</v>
      </c>
      <c r="P15" s="236">
        <f t="shared" si="4"/>
        <v>771.351</v>
      </c>
      <c r="Q15" s="338">
        <f t="shared" si="5"/>
        <v>15527.019999999999</v>
      </c>
    </row>
    <row r="16" spans="1:17" s="108" customFormat="1" ht="22.5" customHeight="1">
      <c r="A16" s="81" t="s">
        <v>194</v>
      </c>
      <c r="B16" s="81"/>
      <c r="C16" s="234">
        <f t="shared" si="13"/>
        <v>188024.8</v>
      </c>
      <c r="D16" s="234">
        <f t="shared" si="13"/>
        <v>419769.61100000003</v>
      </c>
      <c r="E16" s="234">
        <f t="shared" si="13"/>
        <v>307076.22199999995</v>
      </c>
      <c r="F16" s="236">
        <f t="shared" si="0"/>
        <v>-112693.38900000008</v>
      </c>
      <c r="G16" s="151">
        <f t="shared" si="1"/>
        <v>73.1535142023418</v>
      </c>
      <c r="H16" s="236">
        <v>78570.7</v>
      </c>
      <c r="I16" s="236">
        <v>170466.513</v>
      </c>
      <c r="J16" s="236">
        <v>142578.71</v>
      </c>
      <c r="K16" s="236">
        <f t="shared" si="2"/>
        <v>-27887.803000000014</v>
      </c>
      <c r="L16" s="151">
        <f t="shared" si="3"/>
        <v>83.6403041810329</v>
      </c>
      <c r="M16" s="234">
        <v>109454.1</v>
      </c>
      <c r="N16" s="234">
        <v>249303.098</v>
      </c>
      <c r="O16" s="234">
        <v>164497.512</v>
      </c>
      <c r="P16" s="236">
        <f t="shared" si="4"/>
        <v>-84805.58600000001</v>
      </c>
      <c r="Q16" s="151">
        <f t="shared" si="5"/>
        <v>65.98293936965035</v>
      </c>
    </row>
    <row r="17" spans="1:17" s="108" customFormat="1" ht="22.5" customHeight="1">
      <c r="A17" s="81" t="s">
        <v>178</v>
      </c>
      <c r="B17" s="81" t="s">
        <v>177</v>
      </c>
      <c r="C17" s="234">
        <f>C19-C18</f>
        <v>2602.7</v>
      </c>
      <c r="D17" s="234">
        <f>D19-D18</f>
        <v>23679.3</v>
      </c>
      <c r="E17" s="234">
        <f>E19-E18</f>
        <v>22568.436999999998</v>
      </c>
      <c r="F17" s="236">
        <f t="shared" si="0"/>
        <v>-1110.8630000000012</v>
      </c>
      <c r="G17" s="151">
        <f t="shared" si="1"/>
        <v>95.30871689619202</v>
      </c>
      <c r="H17" s="234">
        <f>H19-H18</f>
        <v>0</v>
      </c>
      <c r="I17" s="234">
        <f>I19-I18</f>
        <v>20784.8</v>
      </c>
      <c r="J17" s="234">
        <f>J19-J18</f>
        <v>20759.45</v>
      </c>
      <c r="K17" s="236">
        <f t="shared" si="2"/>
        <v>-25.349999999998545</v>
      </c>
      <c r="L17" s="151">
        <f t="shared" si="3"/>
        <v>99.87803587236827</v>
      </c>
      <c r="M17" s="234">
        <f>M19-M18</f>
        <v>2602.7</v>
      </c>
      <c r="N17" s="234">
        <f>N19-N18</f>
        <v>2894.5</v>
      </c>
      <c r="O17" s="234">
        <f>O19-O18</f>
        <v>1808.987</v>
      </c>
      <c r="P17" s="236">
        <f t="shared" si="4"/>
        <v>-1085.513</v>
      </c>
      <c r="Q17" s="151">
        <f t="shared" si="5"/>
        <v>62.49739160476766</v>
      </c>
    </row>
    <row r="18" spans="1:17" s="108" customFormat="1" ht="22.5" customHeight="1">
      <c r="A18" s="81" t="s">
        <v>193</v>
      </c>
      <c r="B18" s="81"/>
      <c r="C18" s="357">
        <f aca="true" t="shared" si="14" ref="C18:E19">H18+M18</f>
        <v>0</v>
      </c>
      <c r="D18" s="234">
        <f t="shared" si="14"/>
        <v>240</v>
      </c>
      <c r="E18" s="234">
        <f t="shared" si="14"/>
        <v>287.9</v>
      </c>
      <c r="F18" s="236">
        <f t="shared" si="0"/>
        <v>47.89999999999998</v>
      </c>
      <c r="G18" s="151">
        <f t="shared" si="1"/>
        <v>119.95833333333333</v>
      </c>
      <c r="H18" s="236"/>
      <c r="I18" s="236"/>
      <c r="J18" s="236"/>
      <c r="K18" s="356">
        <f t="shared" si="2"/>
        <v>0</v>
      </c>
      <c r="L18" s="338" t="e">
        <f t="shared" si="3"/>
        <v>#DIV/0!</v>
      </c>
      <c r="M18" s="234"/>
      <c r="N18" s="234">
        <v>240</v>
      </c>
      <c r="O18" s="234">
        <v>287.9</v>
      </c>
      <c r="P18" s="236">
        <f t="shared" si="4"/>
        <v>47.89999999999998</v>
      </c>
      <c r="Q18" s="151">
        <f t="shared" si="5"/>
        <v>119.95833333333333</v>
      </c>
    </row>
    <row r="19" spans="1:17" s="108" customFormat="1" ht="22.5" customHeight="1">
      <c r="A19" s="81" t="s">
        <v>194</v>
      </c>
      <c r="B19" s="81"/>
      <c r="C19" s="234">
        <f t="shared" si="14"/>
        <v>2602.7</v>
      </c>
      <c r="D19" s="234">
        <f t="shared" si="14"/>
        <v>23919.3</v>
      </c>
      <c r="E19" s="234">
        <f t="shared" si="14"/>
        <v>22856.337</v>
      </c>
      <c r="F19" s="236">
        <f t="shared" si="0"/>
        <v>-1062.9629999999997</v>
      </c>
      <c r="G19" s="151">
        <f t="shared" si="1"/>
        <v>95.55604470030478</v>
      </c>
      <c r="H19" s="236"/>
      <c r="I19" s="236">
        <v>20784.8</v>
      </c>
      <c r="J19" s="236">
        <v>20759.45</v>
      </c>
      <c r="K19" s="236">
        <f t="shared" si="2"/>
        <v>-25.349999999998545</v>
      </c>
      <c r="L19" s="151">
        <f t="shared" si="3"/>
        <v>99.87803587236827</v>
      </c>
      <c r="M19" s="234">
        <v>2602.7</v>
      </c>
      <c r="N19" s="234">
        <v>3134.5</v>
      </c>
      <c r="O19" s="234">
        <v>2096.887</v>
      </c>
      <c r="P19" s="236">
        <f t="shared" si="4"/>
        <v>-1037.6129999999998</v>
      </c>
      <c r="Q19" s="151">
        <f t="shared" si="5"/>
        <v>66.89701706811294</v>
      </c>
    </row>
    <row r="20" spans="1:17" s="108" customFormat="1" ht="22.5" customHeight="1" hidden="1">
      <c r="A20" s="81" t="s">
        <v>184</v>
      </c>
      <c r="B20" s="81" t="s">
        <v>183</v>
      </c>
      <c r="C20" s="234">
        <f>C22-C21</f>
        <v>0</v>
      </c>
      <c r="D20" s="234">
        <f>D22-D21</f>
        <v>0</v>
      </c>
      <c r="E20" s="234">
        <f>E22-E21</f>
        <v>0</v>
      </c>
      <c r="F20" s="236">
        <f t="shared" si="0"/>
        <v>0</v>
      </c>
      <c r="G20" s="151" t="e">
        <f t="shared" si="1"/>
        <v>#DIV/0!</v>
      </c>
      <c r="H20" s="234">
        <f>H22-H21</f>
        <v>0</v>
      </c>
      <c r="I20" s="234">
        <f>I22-I21</f>
        <v>0</v>
      </c>
      <c r="J20" s="234">
        <f>J22-J21</f>
        <v>0</v>
      </c>
      <c r="K20" s="236">
        <f t="shared" si="2"/>
        <v>0</v>
      </c>
      <c r="L20" s="151" t="e">
        <f t="shared" si="3"/>
        <v>#DIV/0!</v>
      </c>
      <c r="M20" s="234">
        <f>M22-M21</f>
        <v>0</v>
      </c>
      <c r="N20" s="234">
        <f>N22-N21</f>
        <v>0</v>
      </c>
      <c r="O20" s="234">
        <f>O22-O21</f>
        <v>0</v>
      </c>
      <c r="P20" s="236">
        <f t="shared" si="4"/>
        <v>0</v>
      </c>
      <c r="Q20" s="151" t="e">
        <f t="shared" si="5"/>
        <v>#DIV/0!</v>
      </c>
    </row>
    <row r="21" spans="1:17" s="108" customFormat="1" ht="22.5" customHeight="1" hidden="1">
      <c r="A21" s="81" t="s">
        <v>193</v>
      </c>
      <c r="B21" s="81"/>
      <c r="C21" s="234">
        <f aca="true" t="shared" si="15" ref="C21:E22">H21+M21</f>
        <v>0</v>
      </c>
      <c r="D21" s="234">
        <f t="shared" si="15"/>
        <v>0</v>
      </c>
      <c r="E21" s="234">
        <f t="shared" si="15"/>
        <v>0</v>
      </c>
      <c r="F21" s="236">
        <f t="shared" si="0"/>
        <v>0</v>
      </c>
      <c r="G21" s="151" t="e">
        <f t="shared" si="1"/>
        <v>#DIV/0!</v>
      </c>
      <c r="H21" s="236"/>
      <c r="I21" s="236"/>
      <c r="J21" s="236"/>
      <c r="K21" s="236">
        <f t="shared" si="2"/>
        <v>0</v>
      </c>
      <c r="L21" s="151" t="e">
        <f t="shared" si="3"/>
        <v>#DIV/0!</v>
      </c>
      <c r="M21" s="234"/>
      <c r="N21" s="234"/>
      <c r="O21" s="234"/>
      <c r="P21" s="236">
        <f t="shared" si="4"/>
        <v>0</v>
      </c>
      <c r="Q21" s="151" t="e">
        <f t="shared" si="5"/>
        <v>#DIV/0!</v>
      </c>
    </row>
    <row r="22" spans="1:17" s="108" customFormat="1" ht="22.5" customHeight="1" hidden="1">
      <c r="A22" s="81" t="s">
        <v>194</v>
      </c>
      <c r="B22" s="81"/>
      <c r="C22" s="234">
        <f t="shared" si="15"/>
        <v>0</v>
      </c>
      <c r="D22" s="234">
        <f t="shared" si="15"/>
        <v>0</v>
      </c>
      <c r="E22" s="234">
        <f t="shared" si="15"/>
        <v>0</v>
      </c>
      <c r="F22" s="236">
        <f t="shared" si="0"/>
        <v>0</v>
      </c>
      <c r="G22" s="151" t="e">
        <f t="shared" si="1"/>
        <v>#DIV/0!</v>
      </c>
      <c r="H22" s="236"/>
      <c r="I22" s="236"/>
      <c r="J22" s="236"/>
      <c r="K22" s="236">
        <f t="shared" si="2"/>
        <v>0</v>
      </c>
      <c r="L22" s="151" t="e">
        <f t="shared" si="3"/>
        <v>#DIV/0!</v>
      </c>
      <c r="M22" s="234"/>
      <c r="N22" s="234"/>
      <c r="O22" s="234"/>
      <c r="P22" s="236">
        <f t="shared" si="4"/>
        <v>0</v>
      </c>
      <c r="Q22" s="151" t="e">
        <f t="shared" si="5"/>
        <v>#DIV/0!</v>
      </c>
    </row>
    <row r="23" spans="1:17" s="108" customFormat="1" ht="22.5" customHeight="1" hidden="1">
      <c r="A23" s="81" t="s">
        <v>180</v>
      </c>
      <c r="B23" s="81" t="s">
        <v>179</v>
      </c>
      <c r="C23" s="234">
        <f>C25-C24</f>
        <v>0</v>
      </c>
      <c r="D23" s="234">
        <f>D25-D24</f>
        <v>0</v>
      </c>
      <c r="E23" s="234">
        <f>E25-E24</f>
        <v>0</v>
      </c>
      <c r="F23" s="236">
        <f t="shared" si="0"/>
        <v>0</v>
      </c>
      <c r="G23" s="151" t="e">
        <f t="shared" si="1"/>
        <v>#DIV/0!</v>
      </c>
      <c r="H23" s="234">
        <f>H25-H24</f>
        <v>0</v>
      </c>
      <c r="I23" s="234">
        <f>I25-I24</f>
        <v>0</v>
      </c>
      <c r="J23" s="234">
        <f>J25-J24</f>
        <v>0</v>
      </c>
      <c r="K23" s="236">
        <f t="shared" si="2"/>
        <v>0</v>
      </c>
      <c r="L23" s="151" t="e">
        <f t="shared" si="3"/>
        <v>#DIV/0!</v>
      </c>
      <c r="M23" s="234">
        <f>M25-M24</f>
        <v>0</v>
      </c>
      <c r="N23" s="234">
        <f>N25-N24</f>
        <v>0</v>
      </c>
      <c r="O23" s="234">
        <f>O25-O24</f>
        <v>0</v>
      </c>
      <c r="P23" s="236">
        <f t="shared" si="4"/>
        <v>0</v>
      </c>
      <c r="Q23" s="151" t="e">
        <f t="shared" si="5"/>
        <v>#DIV/0!</v>
      </c>
    </row>
    <row r="24" spans="1:17" s="108" customFormat="1" ht="22.5" customHeight="1" hidden="1">
      <c r="A24" s="81" t="s">
        <v>193</v>
      </c>
      <c r="B24" s="81"/>
      <c r="C24" s="234">
        <f aca="true" t="shared" si="16" ref="C24:E25">H24+M24</f>
        <v>0</v>
      </c>
      <c r="D24" s="234">
        <f t="shared" si="16"/>
        <v>0</v>
      </c>
      <c r="E24" s="234">
        <f t="shared" si="16"/>
        <v>0</v>
      </c>
      <c r="F24" s="236">
        <f t="shared" si="0"/>
        <v>0</v>
      </c>
      <c r="G24" s="151" t="e">
        <f t="shared" si="1"/>
        <v>#DIV/0!</v>
      </c>
      <c r="H24" s="236"/>
      <c r="I24" s="236"/>
      <c r="J24" s="236"/>
      <c r="K24" s="236">
        <f t="shared" si="2"/>
        <v>0</v>
      </c>
      <c r="L24" s="151" t="e">
        <f t="shared" si="3"/>
        <v>#DIV/0!</v>
      </c>
      <c r="M24" s="234"/>
      <c r="N24" s="234"/>
      <c r="O24" s="240"/>
      <c r="P24" s="236">
        <f t="shared" si="4"/>
        <v>0</v>
      </c>
      <c r="Q24" s="151" t="e">
        <f t="shared" si="5"/>
        <v>#DIV/0!</v>
      </c>
    </row>
    <row r="25" spans="1:17" s="108" customFormat="1" ht="22.5" customHeight="1" hidden="1">
      <c r="A25" s="81" t="s">
        <v>194</v>
      </c>
      <c r="B25" s="81"/>
      <c r="C25" s="234">
        <f t="shared" si="16"/>
        <v>0</v>
      </c>
      <c r="D25" s="234">
        <f t="shared" si="16"/>
        <v>0</v>
      </c>
      <c r="E25" s="234">
        <f t="shared" si="16"/>
        <v>0</v>
      </c>
      <c r="F25" s="236">
        <f t="shared" si="0"/>
        <v>0</v>
      </c>
      <c r="G25" s="151" t="e">
        <f t="shared" si="1"/>
        <v>#DIV/0!</v>
      </c>
      <c r="H25" s="236"/>
      <c r="I25" s="236"/>
      <c r="J25" s="236"/>
      <c r="K25" s="236">
        <f t="shared" si="2"/>
        <v>0</v>
      </c>
      <c r="L25" s="151" t="e">
        <f t="shared" si="3"/>
        <v>#DIV/0!</v>
      </c>
      <c r="M25" s="234"/>
      <c r="N25" s="234"/>
      <c r="O25" s="234"/>
      <c r="P25" s="236">
        <f t="shared" si="4"/>
        <v>0</v>
      </c>
      <c r="Q25" s="151" t="e">
        <f t="shared" si="5"/>
        <v>#DIV/0!</v>
      </c>
    </row>
    <row r="26" spans="1:17" s="108" customFormat="1" ht="22.5" customHeight="1">
      <c r="A26" s="81" t="s">
        <v>302</v>
      </c>
      <c r="B26" s="81" t="s">
        <v>301</v>
      </c>
      <c r="C26" s="234">
        <f>C28-C27</f>
        <v>471</v>
      </c>
      <c r="D26" s="357">
        <f>D28-D27</f>
        <v>0</v>
      </c>
      <c r="E26" s="357">
        <f>E28-E27</f>
        <v>0</v>
      </c>
      <c r="F26" s="356">
        <f t="shared" si="0"/>
        <v>0</v>
      </c>
      <c r="G26" s="338" t="e">
        <f t="shared" si="1"/>
        <v>#DIV/0!</v>
      </c>
      <c r="H26" s="234">
        <f>H28-H27</f>
        <v>471</v>
      </c>
      <c r="I26" s="357">
        <f>I28-I27</f>
        <v>0</v>
      </c>
      <c r="J26" s="357">
        <f>J28-J27</f>
        <v>0</v>
      </c>
      <c r="K26" s="356">
        <f t="shared" si="2"/>
        <v>0</v>
      </c>
      <c r="L26" s="338" t="e">
        <f t="shared" si="3"/>
        <v>#DIV/0!</v>
      </c>
      <c r="M26" s="357">
        <f>M28-M27</f>
        <v>0</v>
      </c>
      <c r="N26" s="357">
        <f>N28-N27</f>
        <v>0</v>
      </c>
      <c r="O26" s="357">
        <f>O28-O27</f>
        <v>0</v>
      </c>
      <c r="P26" s="356">
        <f t="shared" si="4"/>
        <v>0</v>
      </c>
      <c r="Q26" s="338" t="e">
        <f t="shared" si="5"/>
        <v>#DIV/0!</v>
      </c>
    </row>
    <row r="27" spans="1:17" s="108" customFormat="1" ht="22.5" customHeight="1" hidden="1">
      <c r="A27" s="81" t="s">
        <v>193</v>
      </c>
      <c r="B27" s="81"/>
      <c r="C27" s="234">
        <f aca="true" t="shared" si="17" ref="C27:E28">H27+M27</f>
        <v>0</v>
      </c>
      <c r="D27" s="357">
        <f t="shared" si="17"/>
        <v>0</v>
      </c>
      <c r="E27" s="357">
        <f t="shared" si="17"/>
        <v>0</v>
      </c>
      <c r="F27" s="356">
        <f t="shared" si="0"/>
        <v>0</v>
      </c>
      <c r="G27" s="338" t="e">
        <f t="shared" si="1"/>
        <v>#DIV/0!</v>
      </c>
      <c r="H27" s="236"/>
      <c r="I27" s="356"/>
      <c r="J27" s="356"/>
      <c r="K27" s="356">
        <f t="shared" si="2"/>
        <v>0</v>
      </c>
      <c r="L27" s="338" t="e">
        <f t="shared" si="3"/>
        <v>#DIV/0!</v>
      </c>
      <c r="M27" s="357"/>
      <c r="N27" s="357"/>
      <c r="O27" s="357"/>
      <c r="P27" s="356">
        <f t="shared" si="4"/>
        <v>0</v>
      </c>
      <c r="Q27" s="338" t="e">
        <f t="shared" si="5"/>
        <v>#DIV/0!</v>
      </c>
    </row>
    <row r="28" spans="1:17" s="108" customFormat="1" ht="22.5" customHeight="1">
      <c r="A28" s="81" t="s">
        <v>194</v>
      </c>
      <c r="B28" s="81"/>
      <c r="C28" s="234">
        <f t="shared" si="17"/>
        <v>471</v>
      </c>
      <c r="D28" s="357">
        <f t="shared" si="17"/>
        <v>0</v>
      </c>
      <c r="E28" s="357">
        <f t="shared" si="17"/>
        <v>0</v>
      </c>
      <c r="F28" s="356">
        <f t="shared" si="0"/>
        <v>0</v>
      </c>
      <c r="G28" s="338" t="e">
        <f t="shared" si="1"/>
        <v>#DIV/0!</v>
      </c>
      <c r="H28" s="236">
        <v>471</v>
      </c>
      <c r="I28" s="356"/>
      <c r="J28" s="356"/>
      <c r="K28" s="356">
        <f t="shared" si="2"/>
        <v>0</v>
      </c>
      <c r="L28" s="338" t="e">
        <f t="shared" si="3"/>
        <v>#DIV/0!</v>
      </c>
      <c r="M28" s="357"/>
      <c r="N28" s="357"/>
      <c r="O28" s="357"/>
      <c r="P28" s="356">
        <f t="shared" si="4"/>
        <v>0</v>
      </c>
      <c r="Q28" s="338" t="e">
        <f t="shared" si="5"/>
        <v>#DIV/0!</v>
      </c>
    </row>
    <row r="29" spans="1:17" s="108" customFormat="1" ht="22.5" customHeight="1" hidden="1">
      <c r="A29" s="81" t="s">
        <v>304</v>
      </c>
      <c r="B29" s="81" t="s">
        <v>303</v>
      </c>
      <c r="C29" s="234">
        <f>C31-C30</f>
        <v>0</v>
      </c>
      <c r="D29" s="234">
        <f>D31-D30</f>
        <v>0</v>
      </c>
      <c r="E29" s="234">
        <f>E31-E30</f>
        <v>0</v>
      </c>
      <c r="F29" s="236">
        <f t="shared" si="0"/>
        <v>0</v>
      </c>
      <c r="G29" s="151" t="e">
        <f t="shared" si="1"/>
        <v>#DIV/0!</v>
      </c>
      <c r="H29" s="234">
        <f>H31-H30</f>
        <v>0</v>
      </c>
      <c r="I29" s="234">
        <f>I31-I30</f>
        <v>0</v>
      </c>
      <c r="J29" s="234">
        <f>J31-J30</f>
        <v>0</v>
      </c>
      <c r="K29" s="236">
        <f t="shared" si="2"/>
        <v>0</v>
      </c>
      <c r="L29" s="151" t="e">
        <f t="shared" si="3"/>
        <v>#DIV/0!</v>
      </c>
      <c r="M29" s="234">
        <f>M31-M30</f>
        <v>0</v>
      </c>
      <c r="N29" s="234">
        <f>N31-N30</f>
        <v>0</v>
      </c>
      <c r="O29" s="234">
        <f>O31-O30</f>
        <v>0</v>
      </c>
      <c r="P29" s="236">
        <f t="shared" si="4"/>
        <v>0</v>
      </c>
      <c r="Q29" s="151" t="e">
        <f t="shared" si="5"/>
        <v>#DIV/0!</v>
      </c>
    </row>
    <row r="30" spans="1:17" s="108" customFormat="1" ht="22.5" customHeight="1" hidden="1">
      <c r="A30" s="81" t="s">
        <v>193</v>
      </c>
      <c r="B30" s="81"/>
      <c r="C30" s="234">
        <f aca="true" t="shared" si="18" ref="C30:E31">H30+M30</f>
        <v>0</v>
      </c>
      <c r="D30" s="234">
        <f t="shared" si="18"/>
        <v>0</v>
      </c>
      <c r="E30" s="234">
        <f t="shared" si="18"/>
        <v>0</v>
      </c>
      <c r="F30" s="236">
        <f t="shared" si="0"/>
        <v>0</v>
      </c>
      <c r="G30" s="151" t="e">
        <f t="shared" si="1"/>
        <v>#DIV/0!</v>
      </c>
      <c r="H30" s="236"/>
      <c r="I30" s="236"/>
      <c r="J30" s="236"/>
      <c r="K30" s="236">
        <f t="shared" si="2"/>
        <v>0</v>
      </c>
      <c r="L30" s="151" t="e">
        <f t="shared" si="3"/>
        <v>#DIV/0!</v>
      </c>
      <c r="M30" s="234"/>
      <c r="N30" s="234"/>
      <c r="O30" s="234"/>
      <c r="P30" s="236">
        <f t="shared" si="4"/>
        <v>0</v>
      </c>
      <c r="Q30" s="151" t="e">
        <f t="shared" si="5"/>
        <v>#DIV/0!</v>
      </c>
    </row>
    <row r="31" spans="1:17" s="108" customFormat="1" ht="22.5" customHeight="1" hidden="1">
      <c r="A31" s="81" t="s">
        <v>194</v>
      </c>
      <c r="B31" s="81"/>
      <c r="C31" s="234">
        <f t="shared" si="18"/>
        <v>0</v>
      </c>
      <c r="D31" s="234">
        <f t="shared" si="18"/>
        <v>0</v>
      </c>
      <c r="E31" s="234">
        <f t="shared" si="18"/>
        <v>0</v>
      </c>
      <c r="F31" s="236">
        <f t="shared" si="0"/>
        <v>0</v>
      </c>
      <c r="G31" s="151" t="e">
        <f t="shared" si="1"/>
        <v>#DIV/0!</v>
      </c>
      <c r="H31" s="236"/>
      <c r="I31" s="236"/>
      <c r="J31" s="236"/>
      <c r="K31" s="236">
        <f t="shared" si="2"/>
        <v>0</v>
      </c>
      <c r="L31" s="151" t="e">
        <f t="shared" si="3"/>
        <v>#DIV/0!</v>
      </c>
      <c r="M31" s="234"/>
      <c r="N31" s="234"/>
      <c r="O31" s="234"/>
      <c r="P31" s="236">
        <f t="shared" si="4"/>
        <v>0</v>
      </c>
      <c r="Q31" s="151" t="e">
        <f t="shared" si="5"/>
        <v>#DIV/0!</v>
      </c>
    </row>
    <row r="32" spans="1:17" s="108" customFormat="1" ht="22.5" customHeight="1" hidden="1">
      <c r="A32" s="81" t="s">
        <v>306</v>
      </c>
      <c r="B32" s="81" t="s">
        <v>305</v>
      </c>
      <c r="C32" s="234">
        <f>C34-C33</f>
        <v>0</v>
      </c>
      <c r="D32" s="234">
        <f>D34-D33</f>
        <v>0</v>
      </c>
      <c r="E32" s="234">
        <f>E34-E33</f>
        <v>0</v>
      </c>
      <c r="F32" s="236">
        <f t="shared" si="0"/>
        <v>0</v>
      </c>
      <c r="G32" s="151" t="e">
        <f t="shared" si="1"/>
        <v>#DIV/0!</v>
      </c>
      <c r="H32" s="234">
        <f>H34-H33</f>
        <v>0</v>
      </c>
      <c r="I32" s="234">
        <f>I34-I33</f>
        <v>0</v>
      </c>
      <c r="J32" s="234">
        <f>J34-J33</f>
        <v>0</v>
      </c>
      <c r="K32" s="236">
        <f t="shared" si="2"/>
        <v>0</v>
      </c>
      <c r="L32" s="151" t="e">
        <f t="shared" si="3"/>
        <v>#DIV/0!</v>
      </c>
      <c r="M32" s="234">
        <f>M34-M33</f>
        <v>0</v>
      </c>
      <c r="N32" s="234">
        <f>N34-N33</f>
        <v>0</v>
      </c>
      <c r="O32" s="234">
        <f>O34-O33</f>
        <v>0</v>
      </c>
      <c r="P32" s="236">
        <f t="shared" si="4"/>
        <v>0</v>
      </c>
      <c r="Q32" s="151" t="e">
        <f t="shared" si="5"/>
        <v>#DIV/0!</v>
      </c>
    </row>
    <row r="33" spans="1:17" s="108" customFormat="1" ht="22.5" customHeight="1" hidden="1">
      <c r="A33" s="81" t="s">
        <v>193</v>
      </c>
      <c r="B33" s="81"/>
      <c r="C33" s="234">
        <f aca="true" t="shared" si="19" ref="C33:E34">H33+M33</f>
        <v>0</v>
      </c>
      <c r="D33" s="234">
        <f t="shared" si="19"/>
        <v>0</v>
      </c>
      <c r="E33" s="234">
        <f t="shared" si="19"/>
        <v>0</v>
      </c>
      <c r="F33" s="236">
        <f t="shared" si="0"/>
        <v>0</v>
      </c>
      <c r="G33" s="151" t="e">
        <f t="shared" si="1"/>
        <v>#DIV/0!</v>
      </c>
      <c r="H33" s="236"/>
      <c r="I33" s="236"/>
      <c r="J33" s="236"/>
      <c r="K33" s="236">
        <f t="shared" si="2"/>
        <v>0</v>
      </c>
      <c r="L33" s="151" t="e">
        <f t="shared" si="3"/>
        <v>#DIV/0!</v>
      </c>
      <c r="M33" s="234"/>
      <c r="N33" s="234"/>
      <c r="O33" s="234"/>
      <c r="P33" s="236">
        <f t="shared" si="4"/>
        <v>0</v>
      </c>
      <c r="Q33" s="151" t="e">
        <f t="shared" si="5"/>
        <v>#DIV/0!</v>
      </c>
    </row>
    <row r="34" spans="1:17" s="108" customFormat="1" ht="22.5" customHeight="1" hidden="1">
      <c r="A34" s="81" t="s">
        <v>194</v>
      </c>
      <c r="B34" s="81"/>
      <c r="C34" s="234">
        <f t="shared" si="19"/>
        <v>0</v>
      </c>
      <c r="D34" s="234">
        <f t="shared" si="19"/>
        <v>0</v>
      </c>
      <c r="E34" s="234">
        <f t="shared" si="19"/>
        <v>0</v>
      </c>
      <c r="F34" s="236">
        <f t="shared" si="0"/>
        <v>0</v>
      </c>
      <c r="G34" s="151" t="e">
        <f t="shared" si="1"/>
        <v>#DIV/0!</v>
      </c>
      <c r="H34" s="236"/>
      <c r="I34" s="236"/>
      <c r="J34" s="236"/>
      <c r="K34" s="236">
        <f t="shared" si="2"/>
        <v>0</v>
      </c>
      <c r="L34" s="151" t="e">
        <f t="shared" si="3"/>
        <v>#DIV/0!</v>
      </c>
      <c r="M34" s="234"/>
      <c r="N34" s="234"/>
      <c r="O34" s="234"/>
      <c r="P34" s="236">
        <f t="shared" si="4"/>
        <v>0</v>
      </c>
      <c r="Q34" s="151" t="e">
        <f t="shared" si="5"/>
        <v>#DIV/0!</v>
      </c>
    </row>
    <row r="35" spans="1:17" s="108" customFormat="1" ht="22.5" customHeight="1">
      <c r="A35" s="81" t="s">
        <v>182</v>
      </c>
      <c r="B35" s="81" t="s">
        <v>181</v>
      </c>
      <c r="C35" s="234">
        <f>C37-C36</f>
        <v>4093.3</v>
      </c>
      <c r="D35" s="234">
        <f>D37-D36</f>
        <v>-16038.2</v>
      </c>
      <c r="E35" s="234">
        <f>E37-E36</f>
        <v>-22886.347</v>
      </c>
      <c r="F35" s="236">
        <f t="shared" si="0"/>
        <v>-6848.147000000001</v>
      </c>
      <c r="G35" s="151">
        <f t="shared" si="1"/>
        <v>142.6989749473133</v>
      </c>
      <c r="H35" s="357">
        <f>H37-H36</f>
        <v>0</v>
      </c>
      <c r="I35" s="357">
        <f>I37-I36</f>
        <v>0</v>
      </c>
      <c r="J35" s="357">
        <f>J37-J36</f>
        <v>0</v>
      </c>
      <c r="K35" s="356">
        <f t="shared" si="2"/>
        <v>0</v>
      </c>
      <c r="L35" s="338" t="e">
        <f t="shared" si="3"/>
        <v>#DIV/0!</v>
      </c>
      <c r="M35" s="234">
        <f>M37-M36</f>
        <v>4093.3</v>
      </c>
      <c r="N35" s="234">
        <f>N37-N36</f>
        <v>-16038.2</v>
      </c>
      <c r="O35" s="234">
        <f>O37-O36</f>
        <v>-22886.347</v>
      </c>
      <c r="P35" s="236">
        <f t="shared" si="4"/>
        <v>-6848.147000000001</v>
      </c>
      <c r="Q35" s="151">
        <f t="shared" si="5"/>
        <v>142.6989749473133</v>
      </c>
    </row>
    <row r="36" spans="1:17" s="108" customFormat="1" ht="22.5" customHeight="1">
      <c r="A36" s="81" t="s">
        <v>193</v>
      </c>
      <c r="B36" s="81"/>
      <c r="C36" s="234">
        <f aca="true" t="shared" si="20" ref="C36:E37">H36+M36</f>
        <v>2593.3</v>
      </c>
      <c r="D36" s="234">
        <f t="shared" si="20"/>
        <v>17596.7</v>
      </c>
      <c r="E36" s="234">
        <f t="shared" si="20"/>
        <v>24386.347</v>
      </c>
      <c r="F36" s="236">
        <f t="shared" si="0"/>
        <v>6789.647000000001</v>
      </c>
      <c r="G36" s="151">
        <f t="shared" si="1"/>
        <v>138.58477441793065</v>
      </c>
      <c r="H36" s="356"/>
      <c r="I36" s="356"/>
      <c r="J36" s="356"/>
      <c r="K36" s="356">
        <f t="shared" si="2"/>
        <v>0</v>
      </c>
      <c r="L36" s="338" t="e">
        <f t="shared" si="3"/>
        <v>#DIV/0!</v>
      </c>
      <c r="M36" s="234">
        <v>2593.3</v>
      </c>
      <c r="N36" s="234">
        <v>17596.7</v>
      </c>
      <c r="O36" s="234">
        <v>24386.347</v>
      </c>
      <c r="P36" s="236">
        <f t="shared" si="4"/>
        <v>6789.647000000001</v>
      </c>
      <c r="Q36" s="151">
        <f t="shared" si="5"/>
        <v>138.58477441793065</v>
      </c>
    </row>
    <row r="37" spans="1:17" s="108" customFormat="1" ht="22.5" customHeight="1">
      <c r="A37" s="81" t="s">
        <v>194</v>
      </c>
      <c r="B37" s="81"/>
      <c r="C37" s="234">
        <f t="shared" si="20"/>
        <v>6686.6</v>
      </c>
      <c r="D37" s="234">
        <f t="shared" si="20"/>
        <v>1558.5</v>
      </c>
      <c r="E37" s="234">
        <f t="shared" si="20"/>
        <v>1500</v>
      </c>
      <c r="F37" s="236">
        <f t="shared" si="0"/>
        <v>-58.5</v>
      </c>
      <c r="G37" s="151">
        <f t="shared" si="1"/>
        <v>96.24639076034649</v>
      </c>
      <c r="H37" s="356"/>
      <c r="I37" s="356"/>
      <c r="J37" s="356"/>
      <c r="K37" s="356">
        <f t="shared" si="2"/>
        <v>0</v>
      </c>
      <c r="L37" s="338" t="e">
        <f t="shared" si="3"/>
        <v>#DIV/0!</v>
      </c>
      <c r="M37" s="234">
        <v>6686.6</v>
      </c>
      <c r="N37" s="234">
        <v>1558.5</v>
      </c>
      <c r="O37" s="234">
        <v>1500</v>
      </c>
      <c r="P37" s="236">
        <f t="shared" si="4"/>
        <v>-58.5</v>
      </c>
      <c r="Q37" s="151">
        <f t="shared" si="5"/>
        <v>96.24639076034649</v>
      </c>
    </row>
    <row r="38" spans="1:17" s="107" customFormat="1" ht="22.5" customHeight="1">
      <c r="A38" s="80" t="s">
        <v>190</v>
      </c>
      <c r="B38" s="80"/>
      <c r="C38" s="233">
        <f>C40-C39</f>
        <v>478385.6</v>
      </c>
      <c r="D38" s="233">
        <f>D40-D39</f>
        <v>1305321.1840000001</v>
      </c>
      <c r="E38" s="233">
        <f>E40-E39</f>
        <v>748707.5449999999</v>
      </c>
      <c r="F38" s="210">
        <f t="shared" si="0"/>
        <v>-556613.6390000002</v>
      </c>
      <c r="G38" s="150">
        <f t="shared" si="1"/>
        <v>57.35810880703518</v>
      </c>
      <c r="H38" s="233">
        <f>H40-H39</f>
        <v>462268</v>
      </c>
      <c r="I38" s="233">
        <f>I40-I39</f>
        <v>1202587.3</v>
      </c>
      <c r="J38" s="233">
        <f>J40-J39</f>
        <v>683570.014</v>
      </c>
      <c r="K38" s="210">
        <f t="shared" si="2"/>
        <v>-519017.2860000001</v>
      </c>
      <c r="L38" s="150">
        <f t="shared" si="3"/>
        <v>56.84161257981021</v>
      </c>
      <c r="M38" s="233">
        <f>M40-M39</f>
        <v>16117.6</v>
      </c>
      <c r="N38" s="233">
        <f>N40-N39</f>
        <v>102733.884</v>
      </c>
      <c r="O38" s="233">
        <f>O40-O39</f>
        <v>65137.531</v>
      </c>
      <c r="P38" s="210">
        <f t="shared" si="4"/>
        <v>-37596.353</v>
      </c>
      <c r="Q38" s="150">
        <f t="shared" si="5"/>
        <v>63.404135484646915</v>
      </c>
    </row>
    <row r="39" spans="1:17" s="107" customFormat="1" ht="22.5" customHeight="1" hidden="1">
      <c r="A39" s="80" t="s">
        <v>193</v>
      </c>
      <c r="B39" s="80"/>
      <c r="C39" s="233">
        <f aca="true" t="shared" si="21" ref="C39:E40">H39+M39</f>
        <v>0</v>
      </c>
      <c r="D39" s="233">
        <f t="shared" si="21"/>
        <v>0</v>
      </c>
      <c r="E39" s="233">
        <f t="shared" si="21"/>
        <v>0</v>
      </c>
      <c r="F39" s="210">
        <f t="shared" si="0"/>
        <v>0</v>
      </c>
      <c r="G39" s="150" t="e">
        <f t="shared" si="1"/>
        <v>#DIV/0!</v>
      </c>
      <c r="H39" s="210"/>
      <c r="I39" s="210"/>
      <c r="J39" s="210"/>
      <c r="K39" s="210">
        <f t="shared" si="2"/>
        <v>0</v>
      </c>
      <c r="L39" s="150" t="e">
        <f t="shared" si="3"/>
        <v>#DIV/0!</v>
      </c>
      <c r="M39" s="233"/>
      <c r="N39" s="233"/>
      <c r="O39" s="233"/>
      <c r="P39" s="210">
        <f t="shared" si="4"/>
        <v>0</v>
      </c>
      <c r="Q39" s="150" t="e">
        <f t="shared" si="5"/>
        <v>#DIV/0!</v>
      </c>
    </row>
    <row r="40" spans="1:17" s="107" customFormat="1" ht="22.5" customHeight="1">
      <c r="A40" s="80" t="s">
        <v>194</v>
      </c>
      <c r="B40" s="80"/>
      <c r="C40" s="233">
        <f t="shared" si="21"/>
        <v>478385.6</v>
      </c>
      <c r="D40" s="233">
        <f t="shared" si="21"/>
        <v>1305321.1840000001</v>
      </c>
      <c r="E40" s="233">
        <f t="shared" si="21"/>
        <v>748707.5449999999</v>
      </c>
      <c r="F40" s="210">
        <f t="shared" si="0"/>
        <v>-556613.6390000002</v>
      </c>
      <c r="G40" s="150">
        <f t="shared" si="1"/>
        <v>57.35810880703518</v>
      </c>
      <c r="H40" s="210">
        <v>462268</v>
      </c>
      <c r="I40" s="210">
        <v>1202587.3</v>
      </c>
      <c r="J40" s="210">
        <f>454713.39+228856.624</f>
        <v>683570.014</v>
      </c>
      <c r="K40" s="210">
        <f t="shared" si="2"/>
        <v>-519017.2860000001</v>
      </c>
      <c r="L40" s="150">
        <f t="shared" si="3"/>
        <v>56.84161257981021</v>
      </c>
      <c r="M40" s="233">
        <v>16117.6</v>
      </c>
      <c r="N40" s="233">
        <v>102733.884</v>
      </c>
      <c r="O40" s="233">
        <v>65137.531</v>
      </c>
      <c r="P40" s="210">
        <f t="shared" si="4"/>
        <v>-37596.353</v>
      </c>
      <c r="Q40" s="150">
        <f t="shared" si="5"/>
        <v>63.404135484646915</v>
      </c>
    </row>
    <row r="41" spans="1:17" s="108" customFormat="1" ht="22.5" customHeight="1">
      <c r="A41" s="81"/>
      <c r="B41" s="109"/>
      <c r="C41" s="234"/>
      <c r="D41" s="234"/>
      <c r="E41" s="236"/>
      <c r="F41" s="210"/>
      <c r="G41" s="150"/>
      <c r="H41" s="236"/>
      <c r="I41" s="236"/>
      <c r="J41" s="236"/>
      <c r="K41" s="210"/>
      <c r="L41" s="150"/>
      <c r="M41" s="234"/>
      <c r="N41" s="234"/>
      <c r="O41" s="234"/>
      <c r="P41" s="210"/>
      <c r="Q41" s="150"/>
    </row>
    <row r="42" spans="1:17" s="108" customFormat="1" ht="22.5" customHeight="1">
      <c r="A42" s="75" t="s">
        <v>577</v>
      </c>
      <c r="B42" s="109"/>
      <c r="C42" s="233">
        <f>H42+M42</f>
        <v>1137270.5</v>
      </c>
      <c r="D42" s="233">
        <f>I42+N42</f>
        <v>4271002.4</v>
      </c>
      <c r="E42" s="233">
        <f>J42+O42</f>
        <v>3918283.1</v>
      </c>
      <c r="F42" s="210">
        <f>E42-D42</f>
        <v>-352719.3000000003</v>
      </c>
      <c r="G42" s="150">
        <f>E42/D42*100</f>
        <v>91.74153355661893</v>
      </c>
      <c r="H42" s="233">
        <f>653543.5+463096</f>
        <v>1116639.5</v>
      </c>
      <c r="I42" s="233">
        <f>2196506.7+2073241.6</f>
        <v>4269748.300000001</v>
      </c>
      <c r="J42" s="233">
        <f>1965276.6+1952341.4</f>
        <v>3917618</v>
      </c>
      <c r="K42" s="210">
        <f>J42-I42</f>
        <v>-352130.30000000075</v>
      </c>
      <c r="L42" s="150">
        <f>J42/I42*100</f>
        <v>91.75290262426006</v>
      </c>
      <c r="M42" s="233">
        <f>2474+18157</f>
        <v>20631</v>
      </c>
      <c r="N42" s="233">
        <f>1165.1+89</f>
        <v>1254.1</v>
      </c>
      <c r="O42" s="233">
        <f>617.6+47.5</f>
        <v>665.1</v>
      </c>
      <c r="P42" s="210">
        <f>O42-N42</f>
        <v>-588.9999999999999</v>
      </c>
      <c r="Q42" s="150">
        <f>O42/N42*100</f>
        <v>53.034048321505466</v>
      </c>
    </row>
    <row r="43" spans="1:17" s="108" customFormat="1" ht="22.5" customHeight="1">
      <c r="A43" s="81"/>
      <c r="B43" s="109"/>
      <c r="C43" s="234"/>
      <c r="D43" s="234"/>
      <c r="E43" s="236"/>
      <c r="F43" s="210"/>
      <c r="G43" s="150"/>
      <c r="H43" s="236"/>
      <c r="I43" s="236"/>
      <c r="J43" s="236"/>
      <c r="K43" s="210"/>
      <c r="L43" s="150"/>
      <c r="M43" s="234"/>
      <c r="N43" s="234"/>
      <c r="O43" s="234"/>
      <c r="P43" s="210"/>
      <c r="Q43" s="150"/>
    </row>
    <row r="44" spans="1:17" s="108" customFormat="1" ht="22.5" customHeight="1">
      <c r="A44" s="75" t="s">
        <v>1</v>
      </c>
      <c r="B44" s="109"/>
      <c r="C44" s="233">
        <f>C46-C45</f>
        <v>30334388.5</v>
      </c>
      <c r="D44" s="233">
        <f>D46-D45</f>
        <v>26985677.626000002</v>
      </c>
      <c r="E44" s="233">
        <f>E46-E45</f>
        <v>24219754.373</v>
      </c>
      <c r="F44" s="210">
        <f aca="true" t="shared" si="22" ref="F44:F79">E44-D44</f>
        <v>-2765923.2530000024</v>
      </c>
      <c r="G44" s="150">
        <f aca="true" t="shared" si="23" ref="G44:G79">E44/D44*100</f>
        <v>89.75040281984579</v>
      </c>
      <c r="H44" s="233">
        <f>H46-H45</f>
        <v>30122619.4</v>
      </c>
      <c r="I44" s="233">
        <f>I46-I45</f>
        <v>26780964.800000004</v>
      </c>
      <c r="J44" s="233">
        <f>J46-J45</f>
        <v>24122896.29</v>
      </c>
      <c r="K44" s="210">
        <f aca="true" t="shared" si="24" ref="K44:K79">J44-I44</f>
        <v>-2658068.5100000054</v>
      </c>
      <c r="L44" s="150">
        <f aca="true" t="shared" si="25" ref="L44:L79">J44/I44*100</f>
        <v>90.07478434832188</v>
      </c>
      <c r="M44" s="233">
        <f>M46-M45</f>
        <v>211769.09999999998</v>
      </c>
      <c r="N44" s="233">
        <f>N46-N45</f>
        <v>204712.826</v>
      </c>
      <c r="O44" s="233">
        <f>O46-O45</f>
        <v>96858.083</v>
      </c>
      <c r="P44" s="210">
        <f aca="true" t="shared" si="26" ref="P44:P79">O44-N44</f>
        <v>-107854.743</v>
      </c>
      <c r="Q44" s="150">
        <f aca="true" t="shared" si="27" ref="Q44:Q79">O44/N44*100</f>
        <v>47.31412530058082</v>
      </c>
    </row>
    <row r="45" spans="1:17" s="107" customFormat="1" ht="22.5" customHeight="1">
      <c r="A45" s="80" t="s">
        <v>193</v>
      </c>
      <c r="B45" s="79"/>
      <c r="C45" s="353">
        <f aca="true" t="shared" si="28" ref="C45:E46">C48+C78</f>
        <v>0</v>
      </c>
      <c r="D45" s="353">
        <f t="shared" si="28"/>
        <v>0</v>
      </c>
      <c r="E45" s="233">
        <f t="shared" si="28"/>
        <v>1057.65</v>
      </c>
      <c r="F45" s="210">
        <f t="shared" si="22"/>
        <v>1057.65</v>
      </c>
      <c r="G45" s="342" t="e">
        <f t="shared" si="23"/>
        <v>#DIV/0!</v>
      </c>
      <c r="H45" s="353">
        <f aca="true" t="shared" si="29" ref="H45:J46">H48+H78</f>
        <v>0</v>
      </c>
      <c r="I45" s="353">
        <f t="shared" si="29"/>
        <v>0</v>
      </c>
      <c r="J45" s="233">
        <f t="shared" si="29"/>
        <v>1057.65</v>
      </c>
      <c r="K45" s="210">
        <f t="shared" si="24"/>
        <v>1057.65</v>
      </c>
      <c r="L45" s="342" t="e">
        <f t="shared" si="25"/>
        <v>#DIV/0!</v>
      </c>
      <c r="M45" s="353">
        <f aca="true" t="shared" si="30" ref="M45:O46">M48+M78</f>
        <v>0</v>
      </c>
      <c r="N45" s="353">
        <f t="shared" si="30"/>
        <v>0</v>
      </c>
      <c r="O45" s="353">
        <f t="shared" si="30"/>
        <v>0</v>
      </c>
      <c r="P45" s="345">
        <f t="shared" si="26"/>
        <v>0</v>
      </c>
      <c r="Q45" s="342" t="e">
        <f t="shared" si="27"/>
        <v>#DIV/0!</v>
      </c>
    </row>
    <row r="46" spans="1:17" s="107" customFormat="1" ht="22.5" customHeight="1">
      <c r="A46" s="80" t="s">
        <v>194</v>
      </c>
      <c r="B46" s="80"/>
      <c r="C46" s="233">
        <f t="shared" si="28"/>
        <v>30334388.5</v>
      </c>
      <c r="D46" s="233">
        <f t="shared" si="28"/>
        <v>26985677.626000002</v>
      </c>
      <c r="E46" s="233">
        <f t="shared" si="28"/>
        <v>24220812.023</v>
      </c>
      <c r="F46" s="210">
        <f t="shared" si="22"/>
        <v>-2764865.603000004</v>
      </c>
      <c r="G46" s="150">
        <f t="shared" si="23"/>
        <v>89.75432212109386</v>
      </c>
      <c r="H46" s="233">
        <f t="shared" si="29"/>
        <v>30122619.4</v>
      </c>
      <c r="I46" s="233">
        <f t="shared" si="29"/>
        <v>26780964.800000004</v>
      </c>
      <c r="J46" s="233">
        <f t="shared" si="29"/>
        <v>24123953.939999998</v>
      </c>
      <c r="K46" s="210">
        <f t="shared" si="24"/>
        <v>-2657010.860000007</v>
      </c>
      <c r="L46" s="150">
        <f t="shared" si="25"/>
        <v>90.07873360858154</v>
      </c>
      <c r="M46" s="233">
        <f t="shared" si="30"/>
        <v>211769.09999999998</v>
      </c>
      <c r="N46" s="233">
        <f t="shared" si="30"/>
        <v>204712.826</v>
      </c>
      <c r="O46" s="233">
        <f t="shared" si="30"/>
        <v>96858.083</v>
      </c>
      <c r="P46" s="210">
        <f t="shared" si="26"/>
        <v>-107854.743</v>
      </c>
      <c r="Q46" s="150">
        <f t="shared" si="27"/>
        <v>47.31412530058082</v>
      </c>
    </row>
    <row r="47" spans="1:17" s="107" customFormat="1" ht="22.5" customHeight="1">
      <c r="A47" s="80" t="s">
        <v>189</v>
      </c>
      <c r="B47" s="80"/>
      <c r="C47" s="233">
        <f>C49-C48</f>
        <v>30311306.9</v>
      </c>
      <c r="D47" s="233">
        <f>D49-D48</f>
        <v>26720745.581</v>
      </c>
      <c r="E47" s="233">
        <f>E49-E48</f>
        <v>24094368.726</v>
      </c>
      <c r="F47" s="210">
        <f t="shared" si="22"/>
        <v>-2626376.8550000004</v>
      </c>
      <c r="G47" s="150">
        <f t="shared" si="23"/>
        <v>90.17101956590797</v>
      </c>
      <c r="H47" s="233">
        <f>H49-H48</f>
        <v>30099537.799999997</v>
      </c>
      <c r="I47" s="233">
        <f>I49-I48</f>
        <v>26523295.200000003</v>
      </c>
      <c r="J47" s="233">
        <f>J49-J48</f>
        <v>24002083.336</v>
      </c>
      <c r="K47" s="210">
        <f t="shared" si="24"/>
        <v>-2521211.864000004</v>
      </c>
      <c r="L47" s="150">
        <f t="shared" si="25"/>
        <v>90.49434904302538</v>
      </c>
      <c r="M47" s="233">
        <f>M49-M48</f>
        <v>211769.09999999998</v>
      </c>
      <c r="N47" s="233">
        <f>N49-N48</f>
        <v>197450.381</v>
      </c>
      <c r="O47" s="233">
        <f>O49-O48</f>
        <v>92285.39</v>
      </c>
      <c r="P47" s="210">
        <f t="shared" si="26"/>
        <v>-105164.991</v>
      </c>
      <c r="Q47" s="150">
        <f t="shared" si="27"/>
        <v>46.73852212014724</v>
      </c>
    </row>
    <row r="48" spans="1:17" s="107" customFormat="1" ht="22.5" customHeight="1">
      <c r="A48" s="80" t="s">
        <v>193</v>
      </c>
      <c r="B48" s="80"/>
      <c r="C48" s="353">
        <f aca="true" t="shared" si="31" ref="C48:E49">C51+C54+C57+C60+C63+C66+C69+C72+C75</f>
        <v>0</v>
      </c>
      <c r="D48" s="353">
        <f t="shared" si="31"/>
        <v>0</v>
      </c>
      <c r="E48" s="233">
        <f t="shared" si="31"/>
        <v>1057.65</v>
      </c>
      <c r="F48" s="210">
        <f t="shared" si="22"/>
        <v>1057.65</v>
      </c>
      <c r="G48" s="342" t="e">
        <f t="shared" si="23"/>
        <v>#DIV/0!</v>
      </c>
      <c r="H48" s="353">
        <f aca="true" t="shared" si="32" ref="H48:J49">H51+H54+H57+H60+H63+H66+H69+H72+H75</f>
        <v>0</v>
      </c>
      <c r="I48" s="353">
        <f t="shared" si="32"/>
        <v>0</v>
      </c>
      <c r="J48" s="233">
        <f t="shared" si="32"/>
        <v>1057.65</v>
      </c>
      <c r="K48" s="210">
        <f t="shared" si="24"/>
        <v>1057.65</v>
      </c>
      <c r="L48" s="342" t="e">
        <f t="shared" si="25"/>
        <v>#DIV/0!</v>
      </c>
      <c r="M48" s="353">
        <f aca="true" t="shared" si="33" ref="M48:O49">M51+M54+M57+M60+M63+M66+M69+M72+M75</f>
        <v>0</v>
      </c>
      <c r="N48" s="353">
        <f t="shared" si="33"/>
        <v>0</v>
      </c>
      <c r="O48" s="353">
        <f t="shared" si="33"/>
        <v>0</v>
      </c>
      <c r="P48" s="345">
        <f t="shared" si="26"/>
        <v>0</v>
      </c>
      <c r="Q48" s="342" t="e">
        <f t="shared" si="27"/>
        <v>#DIV/0!</v>
      </c>
    </row>
    <row r="49" spans="1:17" s="107" customFormat="1" ht="22.5" customHeight="1">
      <c r="A49" s="80" t="s">
        <v>194</v>
      </c>
      <c r="B49" s="80"/>
      <c r="C49" s="233">
        <f t="shared" si="31"/>
        <v>30311306.9</v>
      </c>
      <c r="D49" s="233">
        <f t="shared" si="31"/>
        <v>26720745.581</v>
      </c>
      <c r="E49" s="233">
        <f t="shared" si="31"/>
        <v>24095426.376</v>
      </c>
      <c r="F49" s="210">
        <f t="shared" si="22"/>
        <v>-2625319.205000002</v>
      </c>
      <c r="G49" s="150">
        <f t="shared" si="23"/>
        <v>90.1749777264196</v>
      </c>
      <c r="H49" s="233">
        <f t="shared" si="32"/>
        <v>30099537.799999997</v>
      </c>
      <c r="I49" s="233">
        <f t="shared" si="32"/>
        <v>26523295.200000003</v>
      </c>
      <c r="J49" s="233">
        <f t="shared" si="32"/>
        <v>24003140.985999998</v>
      </c>
      <c r="K49" s="210">
        <f t="shared" si="24"/>
        <v>-2520154.2140000053</v>
      </c>
      <c r="L49" s="150">
        <f t="shared" si="25"/>
        <v>90.49833666972117</v>
      </c>
      <c r="M49" s="233">
        <f t="shared" si="33"/>
        <v>211769.09999999998</v>
      </c>
      <c r="N49" s="233">
        <f t="shared" si="33"/>
        <v>197450.381</v>
      </c>
      <c r="O49" s="233">
        <f t="shared" si="33"/>
        <v>92285.39</v>
      </c>
      <c r="P49" s="210">
        <f t="shared" si="26"/>
        <v>-105164.991</v>
      </c>
      <c r="Q49" s="150">
        <f t="shared" si="27"/>
        <v>46.73852212014724</v>
      </c>
    </row>
    <row r="50" spans="1:17" s="108" customFormat="1" ht="22.5" customHeight="1">
      <c r="A50" s="81" t="s">
        <v>174</v>
      </c>
      <c r="B50" s="81" t="s">
        <v>173</v>
      </c>
      <c r="C50" s="234">
        <f>C52-C51</f>
        <v>29779144.9</v>
      </c>
      <c r="D50" s="234">
        <f>D52-D51</f>
        <v>26135900.641</v>
      </c>
      <c r="E50" s="234">
        <f>E52-E51</f>
        <v>23767799.813</v>
      </c>
      <c r="F50" s="236">
        <f t="shared" si="22"/>
        <v>-2368100.827999998</v>
      </c>
      <c r="G50" s="151">
        <f t="shared" si="23"/>
        <v>90.9392798031796</v>
      </c>
      <c r="H50" s="234">
        <f>H52-H51</f>
        <v>29681982.4</v>
      </c>
      <c r="I50" s="234">
        <f>I52-I51</f>
        <v>25968482.2</v>
      </c>
      <c r="J50" s="234">
        <f>J52-J51</f>
        <v>23699470.493</v>
      </c>
      <c r="K50" s="236">
        <f t="shared" si="24"/>
        <v>-2269011.7069999985</v>
      </c>
      <c r="L50" s="151">
        <f t="shared" si="25"/>
        <v>91.26244002431532</v>
      </c>
      <c r="M50" s="234">
        <f>M52-M51</f>
        <v>97162.5</v>
      </c>
      <c r="N50" s="234">
        <f>N52-N51</f>
        <v>167418.441</v>
      </c>
      <c r="O50" s="234">
        <f>O52-O51</f>
        <v>68329.32</v>
      </c>
      <c r="P50" s="236">
        <f t="shared" si="26"/>
        <v>-99089.12099999998</v>
      </c>
      <c r="Q50" s="151">
        <f t="shared" si="27"/>
        <v>40.81349676407512</v>
      </c>
    </row>
    <row r="51" spans="1:17" s="108" customFormat="1" ht="22.5" customHeight="1">
      <c r="A51" s="81" t="s">
        <v>193</v>
      </c>
      <c r="B51" s="81"/>
      <c r="C51" s="357">
        <f aca="true" t="shared" si="34" ref="C51:E52">H51+M51</f>
        <v>0</v>
      </c>
      <c r="D51" s="357">
        <f t="shared" si="34"/>
        <v>0</v>
      </c>
      <c r="E51" s="234">
        <f t="shared" si="34"/>
        <v>935.65</v>
      </c>
      <c r="F51" s="236">
        <f t="shared" si="22"/>
        <v>935.65</v>
      </c>
      <c r="G51" s="338" t="e">
        <f t="shared" si="23"/>
        <v>#DIV/0!</v>
      </c>
      <c r="H51" s="236"/>
      <c r="I51" s="236"/>
      <c r="J51" s="236">
        <v>935.65</v>
      </c>
      <c r="K51" s="236">
        <f t="shared" si="24"/>
        <v>935.65</v>
      </c>
      <c r="L51" s="338" t="e">
        <f t="shared" si="25"/>
        <v>#DIV/0!</v>
      </c>
      <c r="M51" s="234"/>
      <c r="N51" s="234"/>
      <c r="O51" s="234"/>
      <c r="P51" s="356">
        <f t="shared" si="26"/>
        <v>0</v>
      </c>
      <c r="Q51" s="338" t="e">
        <f t="shared" si="27"/>
        <v>#DIV/0!</v>
      </c>
    </row>
    <row r="52" spans="1:17" s="108" customFormat="1" ht="22.5" customHeight="1">
      <c r="A52" s="81" t="s">
        <v>194</v>
      </c>
      <c r="B52" s="81"/>
      <c r="C52" s="234">
        <f t="shared" si="34"/>
        <v>29779144.9</v>
      </c>
      <c r="D52" s="234">
        <f t="shared" si="34"/>
        <v>26135900.641</v>
      </c>
      <c r="E52" s="234">
        <f t="shared" si="34"/>
        <v>23768735.463</v>
      </c>
      <c r="F52" s="236">
        <f t="shared" si="22"/>
        <v>-2367165.1779999994</v>
      </c>
      <c r="G52" s="151">
        <f t="shared" si="23"/>
        <v>90.94285974485771</v>
      </c>
      <c r="H52" s="236">
        <f>6961076.1+22720906.3</f>
        <v>29681982.4</v>
      </c>
      <c r="I52" s="236">
        <f>7510659.7+18457822.5</f>
        <v>25968482.2</v>
      </c>
      <c r="J52" s="236">
        <f>6505732.843+17194673.3</f>
        <v>23700406.143</v>
      </c>
      <c r="K52" s="236">
        <f t="shared" si="24"/>
        <v>-2268076.057</v>
      </c>
      <c r="L52" s="151">
        <f t="shared" si="25"/>
        <v>91.26604304582729</v>
      </c>
      <c r="M52" s="234">
        <v>97162.5</v>
      </c>
      <c r="N52" s="234">
        <v>167418.441</v>
      </c>
      <c r="O52" s="234">
        <v>68329.32</v>
      </c>
      <c r="P52" s="236">
        <f t="shared" si="26"/>
        <v>-99089.12099999998</v>
      </c>
      <c r="Q52" s="151">
        <f t="shared" si="27"/>
        <v>40.81349676407512</v>
      </c>
    </row>
    <row r="53" spans="1:17" s="108" customFormat="1" ht="22.5" customHeight="1">
      <c r="A53" s="81" t="s">
        <v>176</v>
      </c>
      <c r="B53" s="81" t="s">
        <v>175</v>
      </c>
      <c r="C53" s="234">
        <f>C55-C54</f>
        <v>283191.7</v>
      </c>
      <c r="D53" s="234">
        <f>D55-D54</f>
        <v>303734.13999999996</v>
      </c>
      <c r="E53" s="234">
        <f>E55-E54</f>
        <v>194589.67799999999</v>
      </c>
      <c r="F53" s="236">
        <f t="shared" si="22"/>
        <v>-109144.46199999997</v>
      </c>
      <c r="G53" s="151">
        <f t="shared" si="23"/>
        <v>64.06579056275993</v>
      </c>
      <c r="H53" s="234">
        <f>H55-H54</f>
        <v>173626.4</v>
      </c>
      <c r="I53" s="234">
        <f>I55-I54</f>
        <v>278712.6</v>
      </c>
      <c r="J53" s="234">
        <f>J55-J54</f>
        <v>175574.406</v>
      </c>
      <c r="K53" s="236">
        <f t="shared" si="24"/>
        <v>-103138.19399999999</v>
      </c>
      <c r="L53" s="151">
        <f t="shared" si="25"/>
        <v>62.99478602689652</v>
      </c>
      <c r="M53" s="234">
        <f>M55-M54</f>
        <v>109565.3</v>
      </c>
      <c r="N53" s="234">
        <f>N55-N54</f>
        <v>25021.54</v>
      </c>
      <c r="O53" s="234">
        <f>O55-O54</f>
        <v>19015.272</v>
      </c>
      <c r="P53" s="236">
        <f t="shared" si="26"/>
        <v>-6006.268</v>
      </c>
      <c r="Q53" s="151">
        <f t="shared" si="27"/>
        <v>75.99561018226696</v>
      </c>
    </row>
    <row r="54" spans="1:17" s="108" customFormat="1" ht="22.5" customHeight="1">
      <c r="A54" s="81" t="s">
        <v>193</v>
      </c>
      <c r="B54" s="81"/>
      <c r="C54" s="357">
        <f aca="true" t="shared" si="35" ref="C54:E55">H54+M54</f>
        <v>0</v>
      </c>
      <c r="D54" s="357">
        <f t="shared" si="35"/>
        <v>0</v>
      </c>
      <c r="E54" s="234">
        <f t="shared" si="35"/>
        <v>122</v>
      </c>
      <c r="F54" s="236">
        <f t="shared" si="22"/>
        <v>122</v>
      </c>
      <c r="G54" s="338" t="e">
        <f t="shared" si="23"/>
        <v>#DIV/0!</v>
      </c>
      <c r="H54" s="236"/>
      <c r="I54" s="236"/>
      <c r="J54" s="236">
        <v>122</v>
      </c>
      <c r="K54" s="236">
        <f t="shared" si="24"/>
        <v>122</v>
      </c>
      <c r="L54" s="338" t="e">
        <f t="shared" si="25"/>
        <v>#DIV/0!</v>
      </c>
      <c r="M54" s="234"/>
      <c r="N54" s="234"/>
      <c r="O54" s="234"/>
      <c r="P54" s="356">
        <f t="shared" si="26"/>
        <v>0</v>
      </c>
      <c r="Q54" s="338" t="e">
        <f t="shared" si="27"/>
        <v>#DIV/0!</v>
      </c>
    </row>
    <row r="55" spans="1:17" s="108" customFormat="1" ht="22.5" customHeight="1">
      <c r="A55" s="81" t="s">
        <v>194</v>
      </c>
      <c r="B55" s="81"/>
      <c r="C55" s="234">
        <f t="shared" si="35"/>
        <v>283191.7</v>
      </c>
      <c r="D55" s="234">
        <f t="shared" si="35"/>
        <v>303734.13999999996</v>
      </c>
      <c r="E55" s="234">
        <f t="shared" si="35"/>
        <v>194711.67799999999</v>
      </c>
      <c r="F55" s="236">
        <f t="shared" si="22"/>
        <v>-109022.46199999997</v>
      </c>
      <c r="G55" s="151">
        <f t="shared" si="23"/>
        <v>64.10595726907749</v>
      </c>
      <c r="H55" s="236">
        <v>173626.4</v>
      </c>
      <c r="I55" s="236">
        <v>278712.6</v>
      </c>
      <c r="J55" s="236">
        <v>175696.406</v>
      </c>
      <c r="K55" s="236">
        <f t="shared" si="24"/>
        <v>-103016.19399999999</v>
      </c>
      <c r="L55" s="151">
        <f t="shared" si="25"/>
        <v>63.0385587160394</v>
      </c>
      <c r="M55" s="234">
        <v>109565.3</v>
      </c>
      <c r="N55" s="234">
        <v>25021.54</v>
      </c>
      <c r="O55" s="234">
        <v>19015.272</v>
      </c>
      <c r="P55" s="236">
        <f t="shared" si="26"/>
        <v>-6006.268</v>
      </c>
      <c r="Q55" s="151">
        <f t="shared" si="27"/>
        <v>75.99561018226696</v>
      </c>
    </row>
    <row r="56" spans="1:17" s="108" customFormat="1" ht="22.5" customHeight="1">
      <c r="A56" s="81" t="s">
        <v>178</v>
      </c>
      <c r="B56" s="81" t="s">
        <v>177</v>
      </c>
      <c r="C56" s="234">
        <f>C58-C57</f>
        <v>24190.3</v>
      </c>
      <c r="D56" s="234">
        <f>D58-D57</f>
        <v>59224.7</v>
      </c>
      <c r="E56" s="234">
        <f>E58-E57</f>
        <v>26581.517</v>
      </c>
      <c r="F56" s="236">
        <f t="shared" si="22"/>
        <v>-32643.182999999997</v>
      </c>
      <c r="G56" s="151">
        <f t="shared" si="23"/>
        <v>44.88248484162858</v>
      </c>
      <c r="H56" s="234">
        <f>H58-H57</f>
        <v>23929</v>
      </c>
      <c r="I56" s="234">
        <f>I58-I57</f>
        <v>58975.1</v>
      </c>
      <c r="J56" s="234">
        <f>J58-J57</f>
        <v>26396.458</v>
      </c>
      <c r="K56" s="236">
        <f t="shared" si="24"/>
        <v>-32578.642</v>
      </c>
      <c r="L56" s="151">
        <f t="shared" si="25"/>
        <v>44.758648989149656</v>
      </c>
      <c r="M56" s="234">
        <f>M58-M57</f>
        <v>261.3</v>
      </c>
      <c r="N56" s="234">
        <f>N58-N57</f>
        <v>249.6</v>
      </c>
      <c r="O56" s="234">
        <f>O58-O57</f>
        <v>185.059</v>
      </c>
      <c r="P56" s="236">
        <f t="shared" si="26"/>
        <v>-64.541</v>
      </c>
      <c r="Q56" s="151">
        <f t="shared" si="27"/>
        <v>74.14222756410257</v>
      </c>
    </row>
    <row r="57" spans="1:17" s="108" customFormat="1" ht="22.5" customHeight="1" hidden="1">
      <c r="A57" s="81" t="s">
        <v>193</v>
      </c>
      <c r="B57" s="81"/>
      <c r="C57" s="234">
        <f aca="true" t="shared" si="36" ref="C57:E58">H57+M57</f>
        <v>0</v>
      </c>
      <c r="D57" s="234">
        <f t="shared" si="36"/>
        <v>0</v>
      </c>
      <c r="E57" s="234">
        <f t="shared" si="36"/>
        <v>0</v>
      </c>
      <c r="F57" s="236">
        <f t="shared" si="22"/>
        <v>0</v>
      </c>
      <c r="G57" s="151" t="e">
        <f t="shared" si="23"/>
        <v>#DIV/0!</v>
      </c>
      <c r="H57" s="236"/>
      <c r="I57" s="236"/>
      <c r="J57" s="236"/>
      <c r="K57" s="236">
        <f t="shared" si="24"/>
        <v>0</v>
      </c>
      <c r="L57" s="151" t="e">
        <f t="shared" si="25"/>
        <v>#DIV/0!</v>
      </c>
      <c r="M57" s="234"/>
      <c r="N57" s="234"/>
      <c r="O57" s="234"/>
      <c r="P57" s="236">
        <f t="shared" si="26"/>
        <v>0</v>
      </c>
      <c r="Q57" s="151" t="e">
        <f t="shared" si="27"/>
        <v>#DIV/0!</v>
      </c>
    </row>
    <row r="58" spans="1:17" s="108" customFormat="1" ht="22.5" customHeight="1">
      <c r="A58" s="81" t="s">
        <v>194</v>
      </c>
      <c r="B58" s="81"/>
      <c r="C58" s="234">
        <f t="shared" si="36"/>
        <v>24190.3</v>
      </c>
      <c r="D58" s="234">
        <f t="shared" si="36"/>
        <v>59224.7</v>
      </c>
      <c r="E58" s="234">
        <f t="shared" si="36"/>
        <v>26581.517</v>
      </c>
      <c r="F58" s="236">
        <f t="shared" si="22"/>
        <v>-32643.182999999997</v>
      </c>
      <c r="G58" s="151">
        <f t="shared" si="23"/>
        <v>44.88248484162858</v>
      </c>
      <c r="H58" s="236">
        <v>23929</v>
      </c>
      <c r="I58" s="236">
        <v>58975.1</v>
      </c>
      <c r="J58" s="236">
        <v>26396.458</v>
      </c>
      <c r="K58" s="236">
        <f t="shared" si="24"/>
        <v>-32578.642</v>
      </c>
      <c r="L58" s="151">
        <f t="shared" si="25"/>
        <v>44.758648989149656</v>
      </c>
      <c r="M58" s="234">
        <v>261.3</v>
      </c>
      <c r="N58" s="234">
        <v>249.6</v>
      </c>
      <c r="O58" s="234">
        <v>185.059</v>
      </c>
      <c r="P58" s="236">
        <f t="shared" si="26"/>
        <v>-64.541</v>
      </c>
      <c r="Q58" s="151">
        <f t="shared" si="27"/>
        <v>74.14222756410257</v>
      </c>
    </row>
    <row r="59" spans="1:17" s="108" customFormat="1" ht="22.5" customHeight="1">
      <c r="A59" s="81" t="s">
        <v>184</v>
      </c>
      <c r="B59" s="81" t="s">
        <v>183</v>
      </c>
      <c r="C59" s="234">
        <f>C61-C60</f>
        <v>220000</v>
      </c>
      <c r="D59" s="234">
        <f>D61-D60</f>
        <v>217125.3</v>
      </c>
      <c r="E59" s="234">
        <f>E61-E60</f>
        <v>100641.979</v>
      </c>
      <c r="F59" s="236">
        <f t="shared" si="22"/>
        <v>-116483.32099999998</v>
      </c>
      <c r="G59" s="151">
        <f t="shared" si="23"/>
        <v>46.352027608021736</v>
      </c>
      <c r="H59" s="234">
        <f>H61-H60</f>
        <v>220000</v>
      </c>
      <c r="I59" s="234">
        <f>I61-I60</f>
        <v>217125.3</v>
      </c>
      <c r="J59" s="234">
        <f>J61-J60</f>
        <v>100641.979</v>
      </c>
      <c r="K59" s="236">
        <f t="shared" si="24"/>
        <v>-116483.32099999998</v>
      </c>
      <c r="L59" s="151">
        <f t="shared" si="25"/>
        <v>46.352027608021736</v>
      </c>
      <c r="M59" s="357">
        <f>M61-M60</f>
        <v>0</v>
      </c>
      <c r="N59" s="357">
        <f>N61-N60</f>
        <v>0</v>
      </c>
      <c r="O59" s="357">
        <f>O61-O60</f>
        <v>0</v>
      </c>
      <c r="P59" s="356">
        <f t="shared" si="26"/>
        <v>0</v>
      </c>
      <c r="Q59" s="338" t="e">
        <f t="shared" si="27"/>
        <v>#DIV/0!</v>
      </c>
    </row>
    <row r="60" spans="1:17" s="108" customFormat="1" ht="22.5" customHeight="1" hidden="1">
      <c r="A60" s="81" t="s">
        <v>193</v>
      </c>
      <c r="B60" s="81"/>
      <c r="C60" s="234">
        <f aca="true" t="shared" si="37" ref="C60:E61">H60+M60</f>
        <v>0</v>
      </c>
      <c r="D60" s="234">
        <f t="shared" si="37"/>
        <v>0</v>
      </c>
      <c r="E60" s="234">
        <f t="shared" si="37"/>
        <v>0</v>
      </c>
      <c r="F60" s="236">
        <f t="shared" si="22"/>
        <v>0</v>
      </c>
      <c r="G60" s="151" t="e">
        <f t="shared" si="23"/>
        <v>#DIV/0!</v>
      </c>
      <c r="H60" s="236"/>
      <c r="I60" s="236"/>
      <c r="J60" s="236"/>
      <c r="K60" s="236">
        <f t="shared" si="24"/>
        <v>0</v>
      </c>
      <c r="L60" s="151" t="e">
        <f t="shared" si="25"/>
        <v>#DIV/0!</v>
      </c>
      <c r="M60" s="357"/>
      <c r="N60" s="357"/>
      <c r="O60" s="357"/>
      <c r="P60" s="356">
        <f t="shared" si="26"/>
        <v>0</v>
      </c>
      <c r="Q60" s="338" t="e">
        <f t="shared" si="27"/>
        <v>#DIV/0!</v>
      </c>
    </row>
    <row r="61" spans="1:17" s="108" customFormat="1" ht="22.5" customHeight="1">
      <c r="A61" s="81" t="s">
        <v>194</v>
      </c>
      <c r="B61" s="81"/>
      <c r="C61" s="234">
        <f t="shared" si="37"/>
        <v>220000</v>
      </c>
      <c r="D61" s="234">
        <f t="shared" si="37"/>
        <v>217125.3</v>
      </c>
      <c r="E61" s="234">
        <f t="shared" si="37"/>
        <v>100641.979</v>
      </c>
      <c r="F61" s="236">
        <f t="shared" si="22"/>
        <v>-116483.32099999998</v>
      </c>
      <c r="G61" s="151">
        <f t="shared" si="23"/>
        <v>46.352027608021736</v>
      </c>
      <c r="H61" s="236">
        <v>220000</v>
      </c>
      <c r="I61" s="236">
        <v>217125.3</v>
      </c>
      <c r="J61" s="236">
        <v>100641.979</v>
      </c>
      <c r="K61" s="236">
        <f t="shared" si="24"/>
        <v>-116483.32099999998</v>
      </c>
      <c r="L61" s="151">
        <f t="shared" si="25"/>
        <v>46.352027608021736</v>
      </c>
      <c r="M61" s="357"/>
      <c r="N61" s="357"/>
      <c r="O61" s="357"/>
      <c r="P61" s="356">
        <f t="shared" si="26"/>
        <v>0</v>
      </c>
      <c r="Q61" s="338" t="e">
        <f t="shared" si="27"/>
        <v>#DIV/0!</v>
      </c>
    </row>
    <row r="62" spans="1:17" s="108" customFormat="1" ht="22.5" customHeight="1">
      <c r="A62" s="81" t="s">
        <v>180</v>
      </c>
      <c r="B62" s="81" t="s">
        <v>179</v>
      </c>
      <c r="C62" s="234">
        <f>C64-C63</f>
        <v>4780</v>
      </c>
      <c r="D62" s="234">
        <f>D64-D63</f>
        <v>4760.8</v>
      </c>
      <c r="E62" s="234">
        <f>E64-E63</f>
        <v>4755.739</v>
      </c>
      <c r="F62" s="236">
        <f t="shared" si="22"/>
        <v>-5.061000000000604</v>
      </c>
      <c r="G62" s="151">
        <f t="shared" si="23"/>
        <v>99.89369433708619</v>
      </c>
      <c r="H62" s="357">
        <f>H64-H63</f>
        <v>0</v>
      </c>
      <c r="I62" s="357">
        <f>I64-I63</f>
        <v>0</v>
      </c>
      <c r="J62" s="357">
        <f>J64-J63</f>
        <v>0</v>
      </c>
      <c r="K62" s="356">
        <f t="shared" si="24"/>
        <v>0</v>
      </c>
      <c r="L62" s="338" t="e">
        <f t="shared" si="25"/>
        <v>#DIV/0!</v>
      </c>
      <c r="M62" s="234">
        <f>M64-M63</f>
        <v>4780</v>
      </c>
      <c r="N62" s="234">
        <f>N64-N63</f>
        <v>4760.8</v>
      </c>
      <c r="O62" s="234">
        <f>O64-O63</f>
        <v>4755.739</v>
      </c>
      <c r="P62" s="236">
        <f t="shared" si="26"/>
        <v>-5.061000000000604</v>
      </c>
      <c r="Q62" s="151">
        <f t="shared" si="27"/>
        <v>99.89369433708619</v>
      </c>
    </row>
    <row r="63" spans="1:17" s="108" customFormat="1" ht="22.5" customHeight="1" hidden="1">
      <c r="A63" s="81" t="s">
        <v>193</v>
      </c>
      <c r="B63" s="81"/>
      <c r="C63" s="234">
        <f aca="true" t="shared" si="38" ref="C63:E64">H63+M63</f>
        <v>0</v>
      </c>
      <c r="D63" s="234">
        <f t="shared" si="38"/>
        <v>0</v>
      </c>
      <c r="E63" s="234">
        <f t="shared" si="38"/>
        <v>0</v>
      </c>
      <c r="F63" s="236">
        <f t="shared" si="22"/>
        <v>0</v>
      </c>
      <c r="G63" s="151" t="e">
        <f t="shared" si="23"/>
        <v>#DIV/0!</v>
      </c>
      <c r="H63" s="356"/>
      <c r="I63" s="356"/>
      <c r="J63" s="356"/>
      <c r="K63" s="356">
        <f t="shared" si="24"/>
        <v>0</v>
      </c>
      <c r="L63" s="338" t="e">
        <f t="shared" si="25"/>
        <v>#DIV/0!</v>
      </c>
      <c r="M63" s="234"/>
      <c r="N63" s="234"/>
      <c r="O63" s="234"/>
      <c r="P63" s="236">
        <f t="shared" si="26"/>
        <v>0</v>
      </c>
      <c r="Q63" s="151" t="e">
        <f t="shared" si="27"/>
        <v>#DIV/0!</v>
      </c>
    </row>
    <row r="64" spans="1:17" s="108" customFormat="1" ht="22.5" customHeight="1">
      <c r="A64" s="81" t="s">
        <v>194</v>
      </c>
      <c r="B64" s="81"/>
      <c r="C64" s="234">
        <f t="shared" si="38"/>
        <v>4780</v>
      </c>
      <c r="D64" s="234">
        <f t="shared" si="38"/>
        <v>4760.8</v>
      </c>
      <c r="E64" s="234">
        <f t="shared" si="38"/>
        <v>4755.739</v>
      </c>
      <c r="F64" s="236">
        <f t="shared" si="22"/>
        <v>-5.061000000000604</v>
      </c>
      <c r="G64" s="151">
        <f t="shared" si="23"/>
        <v>99.89369433708619</v>
      </c>
      <c r="H64" s="356"/>
      <c r="I64" s="356"/>
      <c r="J64" s="356"/>
      <c r="K64" s="356">
        <f t="shared" si="24"/>
        <v>0</v>
      </c>
      <c r="L64" s="338" t="e">
        <f t="shared" si="25"/>
        <v>#DIV/0!</v>
      </c>
      <c r="M64" s="234">
        <v>4780</v>
      </c>
      <c r="N64" s="234">
        <v>4760.8</v>
      </c>
      <c r="O64" s="234">
        <v>4755.739</v>
      </c>
      <c r="P64" s="236">
        <f t="shared" si="26"/>
        <v>-5.061000000000604</v>
      </c>
      <c r="Q64" s="151">
        <f t="shared" si="27"/>
        <v>99.89369433708619</v>
      </c>
    </row>
    <row r="65" spans="1:17" s="108" customFormat="1" ht="22.5" customHeight="1" hidden="1">
      <c r="A65" s="81" t="s">
        <v>302</v>
      </c>
      <c r="B65" s="81" t="s">
        <v>301</v>
      </c>
      <c r="C65" s="234">
        <f>C67-C66</f>
        <v>0</v>
      </c>
      <c r="D65" s="234">
        <f>D67-D66</f>
        <v>0</v>
      </c>
      <c r="E65" s="234">
        <f>E67-E66</f>
        <v>0</v>
      </c>
      <c r="F65" s="236">
        <f t="shared" si="22"/>
        <v>0</v>
      </c>
      <c r="G65" s="151" t="e">
        <f t="shared" si="23"/>
        <v>#DIV/0!</v>
      </c>
      <c r="H65" s="234">
        <f>H67-H66</f>
        <v>0</v>
      </c>
      <c r="I65" s="234">
        <f>I67-I66</f>
        <v>0</v>
      </c>
      <c r="J65" s="234">
        <f>J67-J66</f>
        <v>0</v>
      </c>
      <c r="K65" s="236">
        <f t="shared" si="24"/>
        <v>0</v>
      </c>
      <c r="L65" s="151" t="e">
        <f t="shared" si="25"/>
        <v>#DIV/0!</v>
      </c>
      <c r="M65" s="234">
        <f>M67-M66</f>
        <v>0</v>
      </c>
      <c r="N65" s="234">
        <f>N67-N66</f>
        <v>0</v>
      </c>
      <c r="O65" s="234">
        <f>O67-O66</f>
        <v>0</v>
      </c>
      <c r="P65" s="236">
        <f t="shared" si="26"/>
        <v>0</v>
      </c>
      <c r="Q65" s="151" t="e">
        <f t="shared" si="27"/>
        <v>#DIV/0!</v>
      </c>
    </row>
    <row r="66" spans="1:17" s="108" customFormat="1" ht="22.5" customHeight="1" hidden="1">
      <c r="A66" s="81" t="s">
        <v>193</v>
      </c>
      <c r="B66" s="81"/>
      <c r="C66" s="234">
        <f aca="true" t="shared" si="39" ref="C66:E67">H66+M66</f>
        <v>0</v>
      </c>
      <c r="D66" s="234">
        <f t="shared" si="39"/>
        <v>0</v>
      </c>
      <c r="E66" s="234">
        <f t="shared" si="39"/>
        <v>0</v>
      </c>
      <c r="F66" s="236">
        <f t="shared" si="22"/>
        <v>0</v>
      </c>
      <c r="G66" s="151" t="e">
        <f t="shared" si="23"/>
        <v>#DIV/0!</v>
      </c>
      <c r="H66" s="236"/>
      <c r="I66" s="236"/>
      <c r="J66" s="236"/>
      <c r="K66" s="236">
        <f t="shared" si="24"/>
        <v>0</v>
      </c>
      <c r="L66" s="151" t="e">
        <f t="shared" si="25"/>
        <v>#DIV/0!</v>
      </c>
      <c r="M66" s="234"/>
      <c r="N66" s="234"/>
      <c r="O66" s="234"/>
      <c r="P66" s="236">
        <f t="shared" si="26"/>
        <v>0</v>
      </c>
      <c r="Q66" s="151" t="e">
        <f t="shared" si="27"/>
        <v>#DIV/0!</v>
      </c>
    </row>
    <row r="67" spans="1:17" s="108" customFormat="1" ht="22.5" customHeight="1" hidden="1">
      <c r="A67" s="81" t="s">
        <v>194</v>
      </c>
      <c r="B67" s="81"/>
      <c r="C67" s="234">
        <f t="shared" si="39"/>
        <v>0</v>
      </c>
      <c r="D67" s="234">
        <f t="shared" si="39"/>
        <v>0</v>
      </c>
      <c r="E67" s="234">
        <f t="shared" si="39"/>
        <v>0</v>
      </c>
      <c r="F67" s="236">
        <f t="shared" si="22"/>
        <v>0</v>
      </c>
      <c r="G67" s="151" t="e">
        <f t="shared" si="23"/>
        <v>#DIV/0!</v>
      </c>
      <c r="H67" s="236"/>
      <c r="I67" s="236"/>
      <c r="J67" s="236"/>
      <c r="K67" s="236">
        <f t="shared" si="24"/>
        <v>0</v>
      </c>
      <c r="L67" s="151" t="e">
        <f t="shared" si="25"/>
        <v>#DIV/0!</v>
      </c>
      <c r="M67" s="234"/>
      <c r="N67" s="234"/>
      <c r="O67" s="234"/>
      <c r="P67" s="236">
        <f t="shared" si="26"/>
        <v>0</v>
      </c>
      <c r="Q67" s="151" t="e">
        <f t="shared" si="27"/>
        <v>#DIV/0!</v>
      </c>
    </row>
    <row r="68" spans="1:17" s="108" customFormat="1" ht="22.5" customHeight="1" hidden="1">
      <c r="A68" s="81" t="s">
        <v>304</v>
      </c>
      <c r="B68" s="81" t="s">
        <v>303</v>
      </c>
      <c r="C68" s="234">
        <f>C70-C69</f>
        <v>0</v>
      </c>
      <c r="D68" s="234">
        <f>D70-D69</f>
        <v>0</v>
      </c>
      <c r="E68" s="234">
        <f>E70-E69</f>
        <v>0</v>
      </c>
      <c r="F68" s="236">
        <f t="shared" si="22"/>
        <v>0</v>
      </c>
      <c r="G68" s="151" t="e">
        <f t="shared" si="23"/>
        <v>#DIV/0!</v>
      </c>
      <c r="H68" s="234">
        <f>H70-H69</f>
        <v>0</v>
      </c>
      <c r="I68" s="234">
        <f>I70-I69</f>
        <v>0</v>
      </c>
      <c r="J68" s="234">
        <f>J70-J69</f>
        <v>0</v>
      </c>
      <c r="K68" s="236">
        <f t="shared" si="24"/>
        <v>0</v>
      </c>
      <c r="L68" s="151" t="e">
        <f t="shared" si="25"/>
        <v>#DIV/0!</v>
      </c>
      <c r="M68" s="234">
        <f>M70-M69</f>
        <v>0</v>
      </c>
      <c r="N68" s="234">
        <f>N70-N69</f>
        <v>0</v>
      </c>
      <c r="O68" s="234">
        <f>O70-O69</f>
        <v>0</v>
      </c>
      <c r="P68" s="236">
        <f t="shared" si="26"/>
        <v>0</v>
      </c>
      <c r="Q68" s="151" t="e">
        <f t="shared" si="27"/>
        <v>#DIV/0!</v>
      </c>
    </row>
    <row r="69" spans="1:17" s="108" customFormat="1" ht="22.5" customHeight="1" hidden="1">
      <c r="A69" s="81" t="s">
        <v>193</v>
      </c>
      <c r="B69" s="81"/>
      <c r="C69" s="234">
        <f aca="true" t="shared" si="40" ref="C69:E70">H69+M69</f>
        <v>0</v>
      </c>
      <c r="D69" s="234">
        <f t="shared" si="40"/>
        <v>0</v>
      </c>
      <c r="E69" s="234">
        <f t="shared" si="40"/>
        <v>0</v>
      </c>
      <c r="F69" s="236">
        <f t="shared" si="22"/>
        <v>0</v>
      </c>
      <c r="G69" s="151" t="e">
        <f t="shared" si="23"/>
        <v>#DIV/0!</v>
      </c>
      <c r="H69" s="236"/>
      <c r="I69" s="236"/>
      <c r="J69" s="236"/>
      <c r="K69" s="236">
        <f t="shared" si="24"/>
        <v>0</v>
      </c>
      <c r="L69" s="151" t="e">
        <f t="shared" si="25"/>
        <v>#DIV/0!</v>
      </c>
      <c r="M69" s="234"/>
      <c r="N69" s="234"/>
      <c r="O69" s="234"/>
      <c r="P69" s="236">
        <f t="shared" si="26"/>
        <v>0</v>
      </c>
      <c r="Q69" s="151" t="e">
        <f t="shared" si="27"/>
        <v>#DIV/0!</v>
      </c>
    </row>
    <row r="70" spans="1:17" s="108" customFormat="1" ht="22.5" customHeight="1" hidden="1">
      <c r="A70" s="81" t="s">
        <v>194</v>
      </c>
      <c r="B70" s="81"/>
      <c r="C70" s="234">
        <f t="shared" si="40"/>
        <v>0</v>
      </c>
      <c r="D70" s="234">
        <f t="shared" si="40"/>
        <v>0</v>
      </c>
      <c r="E70" s="234">
        <f t="shared" si="40"/>
        <v>0</v>
      </c>
      <c r="F70" s="236">
        <f t="shared" si="22"/>
        <v>0</v>
      </c>
      <c r="G70" s="151" t="e">
        <f t="shared" si="23"/>
        <v>#DIV/0!</v>
      </c>
      <c r="H70" s="236"/>
      <c r="I70" s="236"/>
      <c r="J70" s="236"/>
      <c r="K70" s="236">
        <f t="shared" si="24"/>
        <v>0</v>
      </c>
      <c r="L70" s="151" t="e">
        <f t="shared" si="25"/>
        <v>#DIV/0!</v>
      </c>
      <c r="M70" s="234"/>
      <c r="N70" s="234"/>
      <c r="O70" s="234"/>
      <c r="P70" s="236">
        <f t="shared" si="26"/>
        <v>0</v>
      </c>
      <c r="Q70" s="151" t="e">
        <f t="shared" si="27"/>
        <v>#DIV/0!</v>
      </c>
    </row>
    <row r="71" spans="1:17" s="108" customFormat="1" ht="22.5" customHeight="1" hidden="1">
      <c r="A71" s="81" t="s">
        <v>306</v>
      </c>
      <c r="B71" s="81" t="s">
        <v>305</v>
      </c>
      <c r="C71" s="234">
        <f>C73-C72</f>
        <v>0</v>
      </c>
      <c r="D71" s="234">
        <f>D73-D72</f>
        <v>0</v>
      </c>
      <c r="E71" s="234">
        <f>E73-E72</f>
        <v>0</v>
      </c>
      <c r="F71" s="236">
        <f t="shared" si="22"/>
        <v>0</v>
      </c>
      <c r="G71" s="151" t="e">
        <f t="shared" si="23"/>
        <v>#DIV/0!</v>
      </c>
      <c r="H71" s="234">
        <f>H73-H72</f>
        <v>0</v>
      </c>
      <c r="I71" s="234">
        <f>I73-I72</f>
        <v>0</v>
      </c>
      <c r="J71" s="234">
        <f>J73-J72</f>
        <v>0</v>
      </c>
      <c r="K71" s="236">
        <f t="shared" si="24"/>
        <v>0</v>
      </c>
      <c r="L71" s="151" t="e">
        <f t="shared" si="25"/>
        <v>#DIV/0!</v>
      </c>
      <c r="M71" s="234">
        <f>M73-M72</f>
        <v>0</v>
      </c>
      <c r="N71" s="234">
        <f>N73-N72</f>
        <v>0</v>
      </c>
      <c r="O71" s="234">
        <f>O73-O72</f>
        <v>0</v>
      </c>
      <c r="P71" s="236">
        <f t="shared" si="26"/>
        <v>0</v>
      </c>
      <c r="Q71" s="151" t="e">
        <f t="shared" si="27"/>
        <v>#DIV/0!</v>
      </c>
    </row>
    <row r="72" spans="1:17" s="108" customFormat="1" ht="22.5" customHeight="1" hidden="1">
      <c r="A72" s="81" t="s">
        <v>193</v>
      </c>
      <c r="B72" s="81"/>
      <c r="C72" s="234">
        <f aca="true" t="shared" si="41" ref="C72:E73">H72+M72</f>
        <v>0</v>
      </c>
      <c r="D72" s="234">
        <f t="shared" si="41"/>
        <v>0</v>
      </c>
      <c r="E72" s="234">
        <f t="shared" si="41"/>
        <v>0</v>
      </c>
      <c r="F72" s="236">
        <f t="shared" si="22"/>
        <v>0</v>
      </c>
      <c r="G72" s="151" t="e">
        <f t="shared" si="23"/>
        <v>#DIV/0!</v>
      </c>
      <c r="H72" s="236"/>
      <c r="I72" s="236"/>
      <c r="J72" s="236"/>
      <c r="K72" s="236">
        <f t="shared" si="24"/>
        <v>0</v>
      </c>
      <c r="L72" s="151" t="e">
        <f t="shared" si="25"/>
        <v>#DIV/0!</v>
      </c>
      <c r="M72" s="234"/>
      <c r="N72" s="234"/>
      <c r="O72" s="234"/>
      <c r="P72" s="236">
        <f t="shared" si="26"/>
        <v>0</v>
      </c>
      <c r="Q72" s="151" t="e">
        <f t="shared" si="27"/>
        <v>#DIV/0!</v>
      </c>
    </row>
    <row r="73" spans="1:17" s="108" customFormat="1" ht="22.5" customHeight="1" hidden="1">
      <c r="A73" s="81" t="s">
        <v>194</v>
      </c>
      <c r="B73" s="81"/>
      <c r="C73" s="234">
        <f t="shared" si="41"/>
        <v>0</v>
      </c>
      <c r="D73" s="234">
        <f t="shared" si="41"/>
        <v>0</v>
      </c>
      <c r="E73" s="234">
        <f t="shared" si="41"/>
        <v>0</v>
      </c>
      <c r="F73" s="236">
        <f t="shared" si="22"/>
        <v>0</v>
      </c>
      <c r="G73" s="151" t="e">
        <f t="shared" si="23"/>
        <v>#DIV/0!</v>
      </c>
      <c r="H73" s="236"/>
      <c r="I73" s="236"/>
      <c r="J73" s="236"/>
      <c r="K73" s="236">
        <f t="shared" si="24"/>
        <v>0</v>
      </c>
      <c r="L73" s="151" t="e">
        <f t="shared" si="25"/>
        <v>#DIV/0!</v>
      </c>
      <c r="M73" s="234"/>
      <c r="N73" s="234"/>
      <c r="O73" s="234"/>
      <c r="P73" s="236">
        <f t="shared" si="26"/>
        <v>0</v>
      </c>
      <c r="Q73" s="151" t="e">
        <f t="shared" si="27"/>
        <v>#DIV/0!</v>
      </c>
    </row>
    <row r="74" spans="1:17" s="108" customFormat="1" ht="22.5" customHeight="1" hidden="1">
      <c r="A74" s="81" t="s">
        <v>182</v>
      </c>
      <c r="B74" s="81" t="s">
        <v>181</v>
      </c>
      <c r="C74" s="234">
        <f>C76-C75</f>
        <v>0</v>
      </c>
      <c r="D74" s="234">
        <f>D76-D75</f>
        <v>0</v>
      </c>
      <c r="E74" s="234">
        <f>E76-E75</f>
        <v>0</v>
      </c>
      <c r="F74" s="236">
        <f t="shared" si="22"/>
        <v>0</v>
      </c>
      <c r="G74" s="151" t="e">
        <f t="shared" si="23"/>
        <v>#DIV/0!</v>
      </c>
      <c r="H74" s="234">
        <f>H76-H75</f>
        <v>0</v>
      </c>
      <c r="I74" s="234">
        <f>I76-I75</f>
        <v>0</v>
      </c>
      <c r="J74" s="234">
        <f>J76-J75</f>
        <v>0</v>
      </c>
      <c r="K74" s="236">
        <f t="shared" si="24"/>
        <v>0</v>
      </c>
      <c r="L74" s="151" t="e">
        <f t="shared" si="25"/>
        <v>#DIV/0!</v>
      </c>
      <c r="M74" s="234">
        <f>M76-M75</f>
        <v>0</v>
      </c>
      <c r="N74" s="234">
        <f>N76-N75</f>
        <v>0</v>
      </c>
      <c r="O74" s="234">
        <f>O76-O75</f>
        <v>0</v>
      </c>
      <c r="P74" s="236">
        <f t="shared" si="26"/>
        <v>0</v>
      </c>
      <c r="Q74" s="151" t="e">
        <f t="shared" si="27"/>
        <v>#DIV/0!</v>
      </c>
    </row>
    <row r="75" spans="1:17" s="108" customFormat="1" ht="22.5" customHeight="1" hidden="1">
      <c r="A75" s="81" t="s">
        <v>193</v>
      </c>
      <c r="B75" s="81"/>
      <c r="C75" s="234">
        <f aca="true" t="shared" si="42" ref="C75:E76">H75+M75</f>
        <v>0</v>
      </c>
      <c r="D75" s="234">
        <f t="shared" si="42"/>
        <v>0</v>
      </c>
      <c r="E75" s="234">
        <f t="shared" si="42"/>
        <v>0</v>
      </c>
      <c r="F75" s="236">
        <f t="shared" si="22"/>
        <v>0</v>
      </c>
      <c r="G75" s="151" t="e">
        <f t="shared" si="23"/>
        <v>#DIV/0!</v>
      </c>
      <c r="H75" s="236"/>
      <c r="I75" s="236"/>
      <c r="J75" s="236"/>
      <c r="K75" s="236">
        <f t="shared" si="24"/>
        <v>0</v>
      </c>
      <c r="L75" s="151" t="e">
        <f t="shared" si="25"/>
        <v>#DIV/0!</v>
      </c>
      <c r="M75" s="234"/>
      <c r="N75" s="234"/>
      <c r="O75" s="234"/>
      <c r="P75" s="236">
        <f t="shared" si="26"/>
        <v>0</v>
      </c>
      <c r="Q75" s="151" t="e">
        <f t="shared" si="27"/>
        <v>#DIV/0!</v>
      </c>
    </row>
    <row r="76" spans="1:17" s="108" customFormat="1" ht="22.5" customHeight="1" hidden="1">
      <c r="A76" s="81" t="s">
        <v>194</v>
      </c>
      <c r="B76" s="81"/>
      <c r="C76" s="234">
        <f t="shared" si="42"/>
        <v>0</v>
      </c>
      <c r="D76" s="234">
        <f t="shared" si="42"/>
        <v>0</v>
      </c>
      <c r="E76" s="234">
        <f t="shared" si="42"/>
        <v>0</v>
      </c>
      <c r="F76" s="236">
        <f t="shared" si="22"/>
        <v>0</v>
      </c>
      <c r="G76" s="151" t="e">
        <f t="shared" si="23"/>
        <v>#DIV/0!</v>
      </c>
      <c r="H76" s="236"/>
      <c r="I76" s="236"/>
      <c r="J76" s="236"/>
      <c r="K76" s="236">
        <f t="shared" si="24"/>
        <v>0</v>
      </c>
      <c r="L76" s="151" t="e">
        <f t="shared" si="25"/>
        <v>#DIV/0!</v>
      </c>
      <c r="M76" s="234"/>
      <c r="N76" s="234"/>
      <c r="O76" s="234"/>
      <c r="P76" s="236">
        <f t="shared" si="26"/>
        <v>0</v>
      </c>
      <c r="Q76" s="151" t="e">
        <f t="shared" si="27"/>
        <v>#DIV/0!</v>
      </c>
    </row>
    <row r="77" spans="1:17" s="107" customFormat="1" ht="22.5" customHeight="1">
      <c r="A77" s="80" t="s">
        <v>190</v>
      </c>
      <c r="B77" s="80"/>
      <c r="C77" s="233">
        <f>C79-C78</f>
        <v>23081.6</v>
      </c>
      <c r="D77" s="233">
        <f>D79-D78</f>
        <v>264932.045</v>
      </c>
      <c r="E77" s="233">
        <f>E79-E78</f>
        <v>125385.647</v>
      </c>
      <c r="F77" s="210">
        <f t="shared" si="22"/>
        <v>-139546.398</v>
      </c>
      <c r="G77" s="150">
        <f t="shared" si="23"/>
        <v>47.32747486246898</v>
      </c>
      <c r="H77" s="233">
        <f>H79-H78</f>
        <v>23081.6</v>
      </c>
      <c r="I77" s="233">
        <f>I79-I78</f>
        <v>257669.6</v>
      </c>
      <c r="J77" s="233">
        <f>J79-J78</f>
        <v>120812.954</v>
      </c>
      <c r="K77" s="210">
        <f t="shared" si="24"/>
        <v>-136856.646</v>
      </c>
      <c r="L77" s="150">
        <f t="shared" si="25"/>
        <v>46.88677049989599</v>
      </c>
      <c r="M77" s="353">
        <f>M79-M78</f>
        <v>0</v>
      </c>
      <c r="N77" s="233">
        <f>N79-N78</f>
        <v>7262.445</v>
      </c>
      <c r="O77" s="233">
        <f>O79-O78</f>
        <v>4572.693</v>
      </c>
      <c r="P77" s="210">
        <f t="shared" si="26"/>
        <v>-2689.7519999999995</v>
      </c>
      <c r="Q77" s="150">
        <f t="shared" si="27"/>
        <v>62.963547400358976</v>
      </c>
    </row>
    <row r="78" spans="1:17" s="107" customFormat="1" ht="22.5" customHeight="1" hidden="1">
      <c r="A78" s="80" t="s">
        <v>193</v>
      </c>
      <c r="B78" s="80"/>
      <c r="C78" s="233">
        <f aca="true" t="shared" si="43" ref="C78:E79">H78+M78</f>
        <v>0</v>
      </c>
      <c r="D78" s="233">
        <f t="shared" si="43"/>
        <v>0</v>
      </c>
      <c r="E78" s="233">
        <f t="shared" si="43"/>
        <v>0</v>
      </c>
      <c r="F78" s="210">
        <f t="shared" si="22"/>
        <v>0</v>
      </c>
      <c r="G78" s="150" t="e">
        <f t="shared" si="23"/>
        <v>#DIV/0!</v>
      </c>
      <c r="H78" s="210"/>
      <c r="I78" s="210"/>
      <c r="J78" s="210"/>
      <c r="K78" s="210">
        <f t="shared" si="24"/>
        <v>0</v>
      </c>
      <c r="L78" s="150" t="e">
        <f t="shared" si="25"/>
        <v>#DIV/0!</v>
      </c>
      <c r="M78" s="233"/>
      <c r="N78" s="233"/>
      <c r="O78" s="233"/>
      <c r="P78" s="210">
        <f t="shared" si="26"/>
        <v>0</v>
      </c>
      <c r="Q78" s="150" t="e">
        <f t="shared" si="27"/>
        <v>#DIV/0!</v>
      </c>
    </row>
    <row r="79" spans="1:17" s="107" customFormat="1" ht="22.5" customHeight="1">
      <c r="A79" s="80" t="s">
        <v>194</v>
      </c>
      <c r="B79" s="80"/>
      <c r="C79" s="233">
        <f t="shared" si="43"/>
        <v>23081.6</v>
      </c>
      <c r="D79" s="233">
        <f t="shared" si="43"/>
        <v>264932.045</v>
      </c>
      <c r="E79" s="233">
        <f t="shared" si="43"/>
        <v>125385.647</v>
      </c>
      <c r="F79" s="210">
        <f t="shared" si="22"/>
        <v>-139546.398</v>
      </c>
      <c r="G79" s="150">
        <f t="shared" si="23"/>
        <v>47.32747486246898</v>
      </c>
      <c r="H79" s="210">
        <v>23081.6</v>
      </c>
      <c r="I79" s="210">
        <v>257669.6</v>
      </c>
      <c r="J79" s="210">
        <v>120812.954</v>
      </c>
      <c r="K79" s="210">
        <f t="shared" si="24"/>
        <v>-136856.646</v>
      </c>
      <c r="L79" s="150">
        <f t="shared" si="25"/>
        <v>46.88677049989599</v>
      </c>
      <c r="M79" s="233"/>
      <c r="N79" s="233">
        <v>7262.445</v>
      </c>
      <c r="O79" s="233">
        <v>4572.693</v>
      </c>
      <c r="P79" s="210">
        <f t="shared" si="26"/>
        <v>-2689.7519999999995</v>
      </c>
      <c r="Q79" s="150">
        <f t="shared" si="27"/>
        <v>62.963547400358976</v>
      </c>
    </row>
    <row r="80" spans="1:17" s="108" customFormat="1" ht="22.5" customHeight="1">
      <c r="A80" s="81"/>
      <c r="B80" s="109"/>
      <c r="C80" s="234"/>
      <c r="D80" s="234"/>
      <c r="E80" s="236"/>
      <c r="F80" s="210"/>
      <c r="G80" s="150"/>
      <c r="H80" s="236"/>
      <c r="I80" s="236"/>
      <c r="J80" s="236"/>
      <c r="K80" s="210"/>
      <c r="L80" s="150"/>
      <c r="M80" s="234"/>
      <c r="N80" s="234"/>
      <c r="O80" s="234"/>
      <c r="P80" s="210"/>
      <c r="Q80" s="150"/>
    </row>
    <row r="81" spans="1:17" s="108" customFormat="1" ht="22.5" customHeight="1">
      <c r="A81" s="75" t="s">
        <v>2</v>
      </c>
      <c r="B81" s="109"/>
      <c r="C81" s="233">
        <f>C83-C82</f>
        <v>72182.3</v>
      </c>
      <c r="D81" s="233">
        <f>D83-D82</f>
        <v>220010.3</v>
      </c>
      <c r="E81" s="233">
        <f>E83-E82</f>
        <v>207711.765</v>
      </c>
      <c r="F81" s="210">
        <f aca="true" t="shared" si="44" ref="F81:F116">E81-D81</f>
        <v>-12298.534999999974</v>
      </c>
      <c r="G81" s="150">
        <f aca="true" t="shared" si="45" ref="G81:G116">E81/D81*100</f>
        <v>94.41001853095061</v>
      </c>
      <c r="H81" s="233">
        <f>H83-H82</f>
        <v>72182.3</v>
      </c>
      <c r="I81" s="233">
        <f>I83-I82</f>
        <v>220010.3</v>
      </c>
      <c r="J81" s="233">
        <f>J83-J82</f>
        <v>207711.765</v>
      </c>
      <c r="K81" s="210">
        <f aca="true" t="shared" si="46" ref="K81:K116">J81-I81</f>
        <v>-12298.534999999974</v>
      </c>
      <c r="L81" s="150">
        <f aca="true" t="shared" si="47" ref="L81:L116">J81/I81*100</f>
        <v>94.41001853095061</v>
      </c>
      <c r="M81" s="353">
        <f>M83-M82</f>
        <v>0</v>
      </c>
      <c r="N81" s="353">
        <f>N83-N82</f>
        <v>0</v>
      </c>
      <c r="O81" s="353">
        <f>O83-O82</f>
        <v>0</v>
      </c>
      <c r="P81" s="345">
        <f aca="true" t="shared" si="48" ref="P81:P116">O81-N81</f>
        <v>0</v>
      </c>
      <c r="Q81" s="342" t="e">
        <f aca="true" t="shared" si="49" ref="Q81:Q116">O81/N81*100</f>
        <v>#DIV/0!</v>
      </c>
    </row>
    <row r="82" spans="1:17" s="107" customFormat="1" ht="22.5" customHeight="1">
      <c r="A82" s="80" t="s">
        <v>193</v>
      </c>
      <c r="B82" s="79"/>
      <c r="C82" s="353">
        <f aca="true" t="shared" si="50" ref="C82:E83">C85+C115</f>
        <v>0</v>
      </c>
      <c r="D82" s="353">
        <f t="shared" si="50"/>
        <v>0</v>
      </c>
      <c r="E82" s="233">
        <f t="shared" si="50"/>
        <v>400</v>
      </c>
      <c r="F82" s="210">
        <f t="shared" si="44"/>
        <v>400</v>
      </c>
      <c r="G82" s="342" t="e">
        <f t="shared" si="45"/>
        <v>#DIV/0!</v>
      </c>
      <c r="H82" s="353">
        <f aca="true" t="shared" si="51" ref="H82:J83">H85+H115</f>
        <v>0</v>
      </c>
      <c r="I82" s="353">
        <f t="shared" si="51"/>
        <v>0</v>
      </c>
      <c r="J82" s="233">
        <f t="shared" si="51"/>
        <v>400</v>
      </c>
      <c r="K82" s="210">
        <f t="shared" si="46"/>
        <v>400</v>
      </c>
      <c r="L82" s="342" t="e">
        <f t="shared" si="47"/>
        <v>#DIV/0!</v>
      </c>
      <c r="M82" s="353">
        <f aca="true" t="shared" si="52" ref="M82:O83">M85+M115</f>
        <v>0</v>
      </c>
      <c r="N82" s="353">
        <f t="shared" si="52"/>
        <v>0</v>
      </c>
      <c r="O82" s="353">
        <f t="shared" si="52"/>
        <v>0</v>
      </c>
      <c r="P82" s="345">
        <f t="shared" si="48"/>
        <v>0</v>
      </c>
      <c r="Q82" s="342" t="e">
        <f t="shared" si="49"/>
        <v>#DIV/0!</v>
      </c>
    </row>
    <row r="83" spans="1:17" s="107" customFormat="1" ht="22.5" customHeight="1">
      <c r="A83" s="80" t="s">
        <v>194</v>
      </c>
      <c r="B83" s="80"/>
      <c r="C83" s="233">
        <f t="shared" si="50"/>
        <v>72182.3</v>
      </c>
      <c r="D83" s="233">
        <f t="shared" si="50"/>
        <v>220010.3</v>
      </c>
      <c r="E83" s="233">
        <f t="shared" si="50"/>
        <v>208111.765</v>
      </c>
      <c r="F83" s="210">
        <f t="shared" si="44"/>
        <v>-11898.534999999974</v>
      </c>
      <c r="G83" s="150">
        <f t="shared" si="45"/>
        <v>94.5918282007706</v>
      </c>
      <c r="H83" s="233">
        <f t="shared" si="51"/>
        <v>72182.3</v>
      </c>
      <c r="I83" s="233">
        <f t="shared" si="51"/>
        <v>220010.3</v>
      </c>
      <c r="J83" s="233">
        <f t="shared" si="51"/>
        <v>208111.765</v>
      </c>
      <c r="K83" s="210">
        <f t="shared" si="46"/>
        <v>-11898.534999999974</v>
      </c>
      <c r="L83" s="150">
        <f t="shared" si="47"/>
        <v>94.5918282007706</v>
      </c>
      <c r="M83" s="353">
        <f t="shared" si="52"/>
        <v>0</v>
      </c>
      <c r="N83" s="353">
        <f t="shared" si="52"/>
        <v>0</v>
      </c>
      <c r="O83" s="353">
        <f t="shared" si="52"/>
        <v>0</v>
      </c>
      <c r="P83" s="345">
        <f t="shared" si="48"/>
        <v>0</v>
      </c>
      <c r="Q83" s="342" t="e">
        <f t="shared" si="49"/>
        <v>#DIV/0!</v>
      </c>
    </row>
    <row r="84" spans="1:17" s="107" customFormat="1" ht="22.5" customHeight="1">
      <c r="A84" s="80" t="s">
        <v>189</v>
      </c>
      <c r="B84" s="80"/>
      <c r="C84" s="233">
        <f>C86-C85</f>
        <v>70000</v>
      </c>
      <c r="D84" s="233">
        <f>D86-D85</f>
        <v>211205.4</v>
      </c>
      <c r="E84" s="233">
        <f>E86-E85</f>
        <v>202979.423</v>
      </c>
      <c r="F84" s="210">
        <f t="shared" si="44"/>
        <v>-8225.976999999984</v>
      </c>
      <c r="G84" s="150">
        <f t="shared" si="45"/>
        <v>96.10522410885328</v>
      </c>
      <c r="H84" s="233">
        <f>H86-H85</f>
        <v>70000</v>
      </c>
      <c r="I84" s="233">
        <f>I86-I85</f>
        <v>211205.4</v>
      </c>
      <c r="J84" s="233">
        <f>J86-J85</f>
        <v>202979.423</v>
      </c>
      <c r="K84" s="210">
        <f t="shared" si="46"/>
        <v>-8225.976999999984</v>
      </c>
      <c r="L84" s="150">
        <f t="shared" si="47"/>
        <v>96.10522410885328</v>
      </c>
      <c r="M84" s="353">
        <f>M86-M85</f>
        <v>0</v>
      </c>
      <c r="N84" s="353">
        <f>N86-N85</f>
        <v>0</v>
      </c>
      <c r="O84" s="353">
        <f>O86-O85</f>
        <v>0</v>
      </c>
      <c r="P84" s="345">
        <f t="shared" si="48"/>
        <v>0</v>
      </c>
      <c r="Q84" s="342" t="e">
        <f t="shared" si="49"/>
        <v>#DIV/0!</v>
      </c>
    </row>
    <row r="85" spans="1:17" s="107" customFormat="1" ht="22.5" customHeight="1">
      <c r="A85" s="80" t="s">
        <v>193</v>
      </c>
      <c r="B85" s="80"/>
      <c r="C85" s="353">
        <f aca="true" t="shared" si="53" ref="C85:E86">C88+C91+C94+C97+C100+C103+C106+C109+C112</f>
        <v>0</v>
      </c>
      <c r="D85" s="353">
        <f t="shared" si="53"/>
        <v>0</v>
      </c>
      <c r="E85" s="233">
        <f t="shared" si="53"/>
        <v>400</v>
      </c>
      <c r="F85" s="210">
        <f t="shared" si="44"/>
        <v>400</v>
      </c>
      <c r="G85" s="342" t="e">
        <f t="shared" si="45"/>
        <v>#DIV/0!</v>
      </c>
      <c r="H85" s="353">
        <f aca="true" t="shared" si="54" ref="H85:J86">H88+H91+H94+H97+H100+H103+H106+H109+H112</f>
        <v>0</v>
      </c>
      <c r="I85" s="353">
        <f t="shared" si="54"/>
        <v>0</v>
      </c>
      <c r="J85" s="233">
        <f t="shared" si="54"/>
        <v>400</v>
      </c>
      <c r="K85" s="210">
        <f t="shared" si="46"/>
        <v>400</v>
      </c>
      <c r="L85" s="342" t="e">
        <f t="shared" si="47"/>
        <v>#DIV/0!</v>
      </c>
      <c r="M85" s="353">
        <f aca="true" t="shared" si="55" ref="M85:O86">M88+M91+M94+M97+M100+M103+M106+M109+M112</f>
        <v>0</v>
      </c>
      <c r="N85" s="353">
        <f t="shared" si="55"/>
        <v>0</v>
      </c>
      <c r="O85" s="353">
        <f t="shared" si="55"/>
        <v>0</v>
      </c>
      <c r="P85" s="345">
        <f t="shared" si="48"/>
        <v>0</v>
      </c>
      <c r="Q85" s="342" t="e">
        <f t="shared" si="49"/>
        <v>#DIV/0!</v>
      </c>
    </row>
    <row r="86" spans="1:17" s="107" customFormat="1" ht="22.5" customHeight="1">
      <c r="A86" s="80" t="s">
        <v>194</v>
      </c>
      <c r="B86" s="80"/>
      <c r="C86" s="233">
        <f t="shared" si="53"/>
        <v>70000</v>
      </c>
      <c r="D86" s="233">
        <f t="shared" si="53"/>
        <v>211205.4</v>
      </c>
      <c r="E86" s="233">
        <f t="shared" si="53"/>
        <v>203379.423</v>
      </c>
      <c r="F86" s="210">
        <f t="shared" si="44"/>
        <v>-7825.976999999984</v>
      </c>
      <c r="G86" s="150">
        <f t="shared" si="45"/>
        <v>96.29461320591236</v>
      </c>
      <c r="H86" s="233">
        <f t="shared" si="54"/>
        <v>70000</v>
      </c>
      <c r="I86" s="233">
        <f t="shared" si="54"/>
        <v>211205.4</v>
      </c>
      <c r="J86" s="233">
        <f t="shared" si="54"/>
        <v>203379.423</v>
      </c>
      <c r="K86" s="210">
        <f t="shared" si="46"/>
        <v>-7825.976999999984</v>
      </c>
      <c r="L86" s="150">
        <f t="shared" si="47"/>
        <v>96.29461320591236</v>
      </c>
      <c r="M86" s="353">
        <f t="shared" si="55"/>
        <v>0</v>
      </c>
      <c r="N86" s="353">
        <f t="shared" si="55"/>
        <v>0</v>
      </c>
      <c r="O86" s="353">
        <f t="shared" si="55"/>
        <v>0</v>
      </c>
      <c r="P86" s="345">
        <f t="shared" si="48"/>
        <v>0</v>
      </c>
      <c r="Q86" s="342" t="e">
        <f t="shared" si="49"/>
        <v>#DIV/0!</v>
      </c>
    </row>
    <row r="87" spans="1:17" s="108" customFormat="1" ht="22.5" customHeight="1">
      <c r="A87" s="81" t="s">
        <v>174</v>
      </c>
      <c r="B87" s="81" t="s">
        <v>173</v>
      </c>
      <c r="C87" s="234">
        <f>C89-C88</f>
        <v>21000</v>
      </c>
      <c r="D87" s="234">
        <f>D89-D88</f>
        <v>173920</v>
      </c>
      <c r="E87" s="234">
        <f>E89-E88</f>
        <v>171165.788</v>
      </c>
      <c r="F87" s="236">
        <f t="shared" si="44"/>
        <v>-2754.2119999999995</v>
      </c>
      <c r="G87" s="151">
        <f t="shared" si="45"/>
        <v>98.41639144434222</v>
      </c>
      <c r="H87" s="234">
        <f>H89-H88</f>
        <v>21000</v>
      </c>
      <c r="I87" s="234">
        <f>I89-I88</f>
        <v>173920</v>
      </c>
      <c r="J87" s="234">
        <f>J89-J88</f>
        <v>171165.788</v>
      </c>
      <c r="K87" s="236">
        <f t="shared" si="46"/>
        <v>-2754.2119999999995</v>
      </c>
      <c r="L87" s="151">
        <f t="shared" si="47"/>
        <v>98.41639144434222</v>
      </c>
      <c r="M87" s="357">
        <f>M89-M88</f>
        <v>0</v>
      </c>
      <c r="N87" s="357">
        <f>N89-N88</f>
        <v>0</v>
      </c>
      <c r="O87" s="357">
        <f>O89-O88</f>
        <v>0</v>
      </c>
      <c r="P87" s="356">
        <f t="shared" si="48"/>
        <v>0</v>
      </c>
      <c r="Q87" s="338" t="e">
        <f t="shared" si="49"/>
        <v>#DIV/0!</v>
      </c>
    </row>
    <row r="88" spans="1:17" s="108" customFormat="1" ht="22.5" customHeight="1" hidden="1">
      <c r="A88" s="81" t="s">
        <v>193</v>
      </c>
      <c r="B88" s="81"/>
      <c r="C88" s="234">
        <f aca="true" t="shared" si="56" ref="C88:E89">H88+M88</f>
        <v>0</v>
      </c>
      <c r="D88" s="234">
        <f t="shared" si="56"/>
        <v>0</v>
      </c>
      <c r="E88" s="234">
        <f t="shared" si="56"/>
        <v>0</v>
      </c>
      <c r="F88" s="236">
        <f t="shared" si="44"/>
        <v>0</v>
      </c>
      <c r="G88" s="151" t="e">
        <f t="shared" si="45"/>
        <v>#DIV/0!</v>
      </c>
      <c r="H88" s="236"/>
      <c r="I88" s="236"/>
      <c r="J88" s="236"/>
      <c r="K88" s="236">
        <f t="shared" si="46"/>
        <v>0</v>
      </c>
      <c r="L88" s="151" t="e">
        <f t="shared" si="47"/>
        <v>#DIV/0!</v>
      </c>
      <c r="M88" s="357"/>
      <c r="N88" s="357"/>
      <c r="O88" s="357"/>
      <c r="P88" s="356">
        <f t="shared" si="48"/>
        <v>0</v>
      </c>
      <c r="Q88" s="338" t="e">
        <f t="shared" si="49"/>
        <v>#DIV/0!</v>
      </c>
    </row>
    <row r="89" spans="1:17" s="108" customFormat="1" ht="22.5" customHeight="1">
      <c r="A89" s="81" t="s">
        <v>194</v>
      </c>
      <c r="B89" s="81"/>
      <c r="C89" s="234">
        <f t="shared" si="56"/>
        <v>21000</v>
      </c>
      <c r="D89" s="234">
        <f t="shared" si="56"/>
        <v>173920</v>
      </c>
      <c r="E89" s="234">
        <f t="shared" si="56"/>
        <v>171165.788</v>
      </c>
      <c r="F89" s="236">
        <f t="shared" si="44"/>
        <v>-2754.2119999999995</v>
      </c>
      <c r="G89" s="151">
        <f t="shared" si="45"/>
        <v>98.41639144434222</v>
      </c>
      <c r="H89" s="236">
        <v>21000</v>
      </c>
      <c r="I89" s="236">
        <v>173920</v>
      </c>
      <c r="J89" s="236">
        <v>171165.788</v>
      </c>
      <c r="K89" s="236">
        <f t="shared" si="46"/>
        <v>-2754.2119999999995</v>
      </c>
      <c r="L89" s="151">
        <f t="shared" si="47"/>
        <v>98.41639144434222</v>
      </c>
      <c r="M89" s="357"/>
      <c r="N89" s="357"/>
      <c r="O89" s="357"/>
      <c r="P89" s="356">
        <f t="shared" si="48"/>
        <v>0</v>
      </c>
      <c r="Q89" s="338" t="e">
        <f t="shared" si="49"/>
        <v>#DIV/0!</v>
      </c>
    </row>
    <row r="90" spans="1:17" s="108" customFormat="1" ht="22.5" customHeight="1">
      <c r="A90" s="81" t="s">
        <v>176</v>
      </c>
      <c r="B90" s="81" t="s">
        <v>175</v>
      </c>
      <c r="C90" s="234">
        <f>C92-C91</f>
        <v>49000</v>
      </c>
      <c r="D90" s="234">
        <f>D92-D91</f>
        <v>37285.4</v>
      </c>
      <c r="E90" s="234">
        <f>E92-E91</f>
        <v>31813.635</v>
      </c>
      <c r="F90" s="236">
        <f t="shared" si="44"/>
        <v>-5471.765000000003</v>
      </c>
      <c r="G90" s="151">
        <f t="shared" si="45"/>
        <v>85.32464449891914</v>
      </c>
      <c r="H90" s="234">
        <f>H92-H91</f>
        <v>49000</v>
      </c>
      <c r="I90" s="234">
        <f>I92-I91</f>
        <v>37285.4</v>
      </c>
      <c r="J90" s="234">
        <f>J92-J91</f>
        <v>31813.635</v>
      </c>
      <c r="K90" s="236">
        <f t="shared" si="46"/>
        <v>-5471.765000000003</v>
      </c>
      <c r="L90" s="151">
        <f t="shared" si="47"/>
        <v>85.32464449891914</v>
      </c>
      <c r="M90" s="357">
        <f>M92-M91</f>
        <v>0</v>
      </c>
      <c r="N90" s="357">
        <f>N92-N91</f>
        <v>0</v>
      </c>
      <c r="O90" s="357">
        <f>O92-O91</f>
        <v>0</v>
      </c>
      <c r="P90" s="356">
        <f t="shared" si="48"/>
        <v>0</v>
      </c>
      <c r="Q90" s="338" t="e">
        <f t="shared" si="49"/>
        <v>#DIV/0!</v>
      </c>
    </row>
    <row r="91" spans="1:17" s="108" customFormat="1" ht="22.5" customHeight="1">
      <c r="A91" s="81" t="s">
        <v>193</v>
      </c>
      <c r="B91" s="81"/>
      <c r="C91" s="357">
        <f aca="true" t="shared" si="57" ref="C91:E92">H91+M91</f>
        <v>0</v>
      </c>
      <c r="D91" s="357">
        <f t="shared" si="57"/>
        <v>0</v>
      </c>
      <c r="E91" s="234">
        <f t="shared" si="57"/>
        <v>400</v>
      </c>
      <c r="F91" s="236">
        <f t="shared" si="44"/>
        <v>400</v>
      </c>
      <c r="G91" s="338" t="e">
        <f t="shared" si="45"/>
        <v>#DIV/0!</v>
      </c>
      <c r="H91" s="236"/>
      <c r="I91" s="236"/>
      <c r="J91" s="236">
        <v>400</v>
      </c>
      <c r="K91" s="236">
        <f t="shared" si="46"/>
        <v>400</v>
      </c>
      <c r="L91" s="338" t="e">
        <f t="shared" si="47"/>
        <v>#DIV/0!</v>
      </c>
      <c r="M91" s="357"/>
      <c r="N91" s="357"/>
      <c r="O91" s="357"/>
      <c r="P91" s="356">
        <f t="shared" si="48"/>
        <v>0</v>
      </c>
      <c r="Q91" s="338" t="e">
        <f t="shared" si="49"/>
        <v>#DIV/0!</v>
      </c>
    </row>
    <row r="92" spans="1:17" s="108" customFormat="1" ht="22.5" customHeight="1">
      <c r="A92" s="81" t="s">
        <v>194</v>
      </c>
      <c r="B92" s="81"/>
      <c r="C92" s="234">
        <f t="shared" si="57"/>
        <v>49000</v>
      </c>
      <c r="D92" s="234">
        <f t="shared" si="57"/>
        <v>37285.4</v>
      </c>
      <c r="E92" s="234">
        <f t="shared" si="57"/>
        <v>32213.635</v>
      </c>
      <c r="F92" s="236">
        <f t="shared" si="44"/>
        <v>-5071.765000000003</v>
      </c>
      <c r="G92" s="151">
        <f t="shared" si="45"/>
        <v>86.39745047659405</v>
      </c>
      <c r="H92" s="236">
        <v>49000</v>
      </c>
      <c r="I92" s="236">
        <v>37285.4</v>
      </c>
      <c r="J92" s="236">
        <v>32213.635</v>
      </c>
      <c r="K92" s="236">
        <f t="shared" si="46"/>
        <v>-5071.765000000003</v>
      </c>
      <c r="L92" s="151">
        <f t="shared" si="47"/>
        <v>86.39745047659405</v>
      </c>
      <c r="M92" s="357"/>
      <c r="N92" s="357"/>
      <c r="O92" s="357"/>
      <c r="P92" s="356">
        <f t="shared" si="48"/>
        <v>0</v>
      </c>
      <c r="Q92" s="338" t="e">
        <f t="shared" si="49"/>
        <v>#DIV/0!</v>
      </c>
    </row>
    <row r="93" spans="1:17" s="108" customFormat="1" ht="22.5" customHeight="1" hidden="1">
      <c r="A93" s="81" t="s">
        <v>178</v>
      </c>
      <c r="B93" s="81" t="s">
        <v>177</v>
      </c>
      <c r="C93" s="234">
        <f>C95-C94</f>
        <v>0</v>
      </c>
      <c r="D93" s="234">
        <f>D95-D94</f>
        <v>0</v>
      </c>
      <c r="E93" s="234">
        <f>E95-E94</f>
        <v>0</v>
      </c>
      <c r="F93" s="236">
        <f t="shared" si="44"/>
        <v>0</v>
      </c>
      <c r="G93" s="151" t="e">
        <f t="shared" si="45"/>
        <v>#DIV/0!</v>
      </c>
      <c r="H93" s="234">
        <f>H95-H94</f>
        <v>0</v>
      </c>
      <c r="I93" s="234">
        <f>I95-I94</f>
        <v>0</v>
      </c>
      <c r="J93" s="234">
        <f>J95-J94</f>
        <v>0</v>
      </c>
      <c r="K93" s="236">
        <f t="shared" si="46"/>
        <v>0</v>
      </c>
      <c r="L93" s="151" t="e">
        <f t="shared" si="47"/>
        <v>#DIV/0!</v>
      </c>
      <c r="M93" s="357">
        <f>M95-M94</f>
        <v>0</v>
      </c>
      <c r="N93" s="357">
        <f>N95-N94</f>
        <v>0</v>
      </c>
      <c r="O93" s="357">
        <f>O95-O94</f>
        <v>0</v>
      </c>
      <c r="P93" s="356">
        <f t="shared" si="48"/>
        <v>0</v>
      </c>
      <c r="Q93" s="338" t="e">
        <f t="shared" si="49"/>
        <v>#DIV/0!</v>
      </c>
    </row>
    <row r="94" spans="1:17" s="108" customFormat="1" ht="22.5" customHeight="1" hidden="1">
      <c r="A94" s="81" t="s">
        <v>193</v>
      </c>
      <c r="B94" s="81"/>
      <c r="C94" s="234">
        <f aca="true" t="shared" si="58" ref="C94:E95">H94+M94</f>
        <v>0</v>
      </c>
      <c r="D94" s="234">
        <f t="shared" si="58"/>
        <v>0</v>
      </c>
      <c r="E94" s="234">
        <f t="shared" si="58"/>
        <v>0</v>
      </c>
      <c r="F94" s="236">
        <f t="shared" si="44"/>
        <v>0</v>
      </c>
      <c r="G94" s="151" t="e">
        <f t="shared" si="45"/>
        <v>#DIV/0!</v>
      </c>
      <c r="H94" s="236"/>
      <c r="I94" s="236"/>
      <c r="J94" s="236"/>
      <c r="K94" s="236">
        <f t="shared" si="46"/>
        <v>0</v>
      </c>
      <c r="L94" s="151" t="e">
        <f t="shared" si="47"/>
        <v>#DIV/0!</v>
      </c>
      <c r="M94" s="357"/>
      <c r="N94" s="357"/>
      <c r="O94" s="357"/>
      <c r="P94" s="356">
        <f t="shared" si="48"/>
        <v>0</v>
      </c>
      <c r="Q94" s="338" t="e">
        <f t="shared" si="49"/>
        <v>#DIV/0!</v>
      </c>
    </row>
    <row r="95" spans="1:17" s="108" customFormat="1" ht="22.5" customHeight="1" hidden="1">
      <c r="A95" s="81" t="s">
        <v>194</v>
      </c>
      <c r="B95" s="81"/>
      <c r="C95" s="234">
        <f t="shared" si="58"/>
        <v>0</v>
      </c>
      <c r="D95" s="234">
        <f t="shared" si="58"/>
        <v>0</v>
      </c>
      <c r="E95" s="234">
        <f t="shared" si="58"/>
        <v>0</v>
      </c>
      <c r="F95" s="236">
        <f t="shared" si="44"/>
        <v>0</v>
      </c>
      <c r="G95" s="151" t="e">
        <f t="shared" si="45"/>
        <v>#DIV/0!</v>
      </c>
      <c r="H95" s="236"/>
      <c r="I95" s="236"/>
      <c r="J95" s="236"/>
      <c r="K95" s="236">
        <f t="shared" si="46"/>
        <v>0</v>
      </c>
      <c r="L95" s="151" t="e">
        <f t="shared" si="47"/>
        <v>#DIV/0!</v>
      </c>
      <c r="M95" s="357"/>
      <c r="N95" s="357"/>
      <c r="O95" s="357"/>
      <c r="P95" s="356">
        <f t="shared" si="48"/>
        <v>0</v>
      </c>
      <c r="Q95" s="338" t="e">
        <f t="shared" si="49"/>
        <v>#DIV/0!</v>
      </c>
    </row>
    <row r="96" spans="1:17" s="108" customFormat="1" ht="22.5" customHeight="1" hidden="1">
      <c r="A96" s="81" t="s">
        <v>184</v>
      </c>
      <c r="B96" s="81" t="s">
        <v>183</v>
      </c>
      <c r="C96" s="234">
        <f>C98-C97</f>
        <v>0</v>
      </c>
      <c r="D96" s="234">
        <f>D98-D97</f>
        <v>0</v>
      </c>
      <c r="E96" s="234">
        <f>E98-E97</f>
        <v>0</v>
      </c>
      <c r="F96" s="236">
        <f t="shared" si="44"/>
        <v>0</v>
      </c>
      <c r="G96" s="151" t="e">
        <f t="shared" si="45"/>
        <v>#DIV/0!</v>
      </c>
      <c r="H96" s="234">
        <f>H98-H97</f>
        <v>0</v>
      </c>
      <c r="I96" s="234">
        <f>I98-I97</f>
        <v>0</v>
      </c>
      <c r="J96" s="234">
        <f>J98-J97</f>
        <v>0</v>
      </c>
      <c r="K96" s="236">
        <f t="shared" si="46"/>
        <v>0</v>
      </c>
      <c r="L96" s="151" t="e">
        <f t="shared" si="47"/>
        <v>#DIV/0!</v>
      </c>
      <c r="M96" s="357">
        <f>M98-M97</f>
        <v>0</v>
      </c>
      <c r="N96" s="357">
        <f>N98-N97</f>
        <v>0</v>
      </c>
      <c r="O96" s="357">
        <f>O98-O97</f>
        <v>0</v>
      </c>
      <c r="P96" s="356">
        <f t="shared" si="48"/>
        <v>0</v>
      </c>
      <c r="Q96" s="338" t="e">
        <f t="shared" si="49"/>
        <v>#DIV/0!</v>
      </c>
    </row>
    <row r="97" spans="1:17" s="108" customFormat="1" ht="22.5" customHeight="1" hidden="1">
      <c r="A97" s="81" t="s">
        <v>193</v>
      </c>
      <c r="B97" s="81"/>
      <c r="C97" s="234">
        <f aca="true" t="shared" si="59" ref="C97:E98">H97+M97</f>
        <v>0</v>
      </c>
      <c r="D97" s="234">
        <f t="shared" si="59"/>
        <v>0</v>
      </c>
      <c r="E97" s="234">
        <f t="shared" si="59"/>
        <v>0</v>
      </c>
      <c r="F97" s="236">
        <f t="shared" si="44"/>
        <v>0</v>
      </c>
      <c r="G97" s="151" t="e">
        <f t="shared" si="45"/>
        <v>#DIV/0!</v>
      </c>
      <c r="H97" s="236"/>
      <c r="I97" s="236"/>
      <c r="J97" s="236"/>
      <c r="K97" s="236">
        <f t="shared" si="46"/>
        <v>0</v>
      </c>
      <c r="L97" s="151" t="e">
        <f t="shared" si="47"/>
        <v>#DIV/0!</v>
      </c>
      <c r="M97" s="357"/>
      <c r="N97" s="357"/>
      <c r="O97" s="357"/>
      <c r="P97" s="356">
        <f t="shared" si="48"/>
        <v>0</v>
      </c>
      <c r="Q97" s="338" t="e">
        <f t="shared" si="49"/>
        <v>#DIV/0!</v>
      </c>
    </row>
    <row r="98" spans="1:17" s="108" customFormat="1" ht="22.5" customHeight="1" hidden="1">
      <c r="A98" s="81" t="s">
        <v>194</v>
      </c>
      <c r="B98" s="81"/>
      <c r="C98" s="234">
        <f t="shared" si="59"/>
        <v>0</v>
      </c>
      <c r="D98" s="234">
        <f t="shared" si="59"/>
        <v>0</v>
      </c>
      <c r="E98" s="234">
        <f t="shared" si="59"/>
        <v>0</v>
      </c>
      <c r="F98" s="236">
        <f t="shared" si="44"/>
        <v>0</v>
      </c>
      <c r="G98" s="151" t="e">
        <f t="shared" si="45"/>
        <v>#DIV/0!</v>
      </c>
      <c r="H98" s="236"/>
      <c r="I98" s="236"/>
      <c r="J98" s="236"/>
      <c r="K98" s="236">
        <f t="shared" si="46"/>
        <v>0</v>
      </c>
      <c r="L98" s="151" t="e">
        <f t="shared" si="47"/>
        <v>#DIV/0!</v>
      </c>
      <c r="M98" s="357"/>
      <c r="N98" s="357"/>
      <c r="O98" s="357"/>
      <c r="P98" s="356">
        <f t="shared" si="48"/>
        <v>0</v>
      </c>
      <c r="Q98" s="338" t="e">
        <f t="shared" si="49"/>
        <v>#DIV/0!</v>
      </c>
    </row>
    <row r="99" spans="1:17" s="108" customFormat="1" ht="22.5" customHeight="1" hidden="1">
      <c r="A99" s="81" t="s">
        <v>180</v>
      </c>
      <c r="B99" s="81" t="s">
        <v>179</v>
      </c>
      <c r="C99" s="234">
        <f>C101-C100</f>
        <v>0</v>
      </c>
      <c r="D99" s="234">
        <f>D101-D100</f>
        <v>0</v>
      </c>
      <c r="E99" s="234">
        <f>E101-E100</f>
        <v>0</v>
      </c>
      <c r="F99" s="236">
        <f t="shared" si="44"/>
        <v>0</v>
      </c>
      <c r="G99" s="151" t="e">
        <f t="shared" si="45"/>
        <v>#DIV/0!</v>
      </c>
      <c r="H99" s="234">
        <f>H101-H100</f>
        <v>0</v>
      </c>
      <c r="I99" s="234">
        <f>I101-I100</f>
        <v>0</v>
      </c>
      <c r="J99" s="234">
        <f>J101-J100</f>
        <v>0</v>
      </c>
      <c r="K99" s="236">
        <f t="shared" si="46"/>
        <v>0</v>
      </c>
      <c r="L99" s="151" t="e">
        <f t="shared" si="47"/>
        <v>#DIV/0!</v>
      </c>
      <c r="M99" s="357">
        <f>M101-M100</f>
        <v>0</v>
      </c>
      <c r="N99" s="357">
        <f>N101-N100</f>
        <v>0</v>
      </c>
      <c r="O99" s="357">
        <f>O101-O100</f>
        <v>0</v>
      </c>
      <c r="P99" s="356">
        <f t="shared" si="48"/>
        <v>0</v>
      </c>
      <c r="Q99" s="338" t="e">
        <f t="shared" si="49"/>
        <v>#DIV/0!</v>
      </c>
    </row>
    <row r="100" spans="1:17" s="108" customFormat="1" ht="22.5" customHeight="1" hidden="1">
      <c r="A100" s="81" t="s">
        <v>193</v>
      </c>
      <c r="B100" s="81"/>
      <c r="C100" s="234">
        <f aca="true" t="shared" si="60" ref="C100:E101">H100+M100</f>
        <v>0</v>
      </c>
      <c r="D100" s="234">
        <f t="shared" si="60"/>
        <v>0</v>
      </c>
      <c r="E100" s="234">
        <f t="shared" si="60"/>
        <v>0</v>
      </c>
      <c r="F100" s="236">
        <f t="shared" si="44"/>
        <v>0</v>
      </c>
      <c r="G100" s="151" t="e">
        <f t="shared" si="45"/>
        <v>#DIV/0!</v>
      </c>
      <c r="H100" s="236"/>
      <c r="I100" s="236"/>
      <c r="J100" s="236"/>
      <c r="K100" s="236">
        <f t="shared" si="46"/>
        <v>0</v>
      </c>
      <c r="L100" s="151" t="e">
        <f t="shared" si="47"/>
        <v>#DIV/0!</v>
      </c>
      <c r="M100" s="357"/>
      <c r="N100" s="357"/>
      <c r="O100" s="357"/>
      <c r="P100" s="356">
        <f t="shared" si="48"/>
        <v>0</v>
      </c>
      <c r="Q100" s="338" t="e">
        <f t="shared" si="49"/>
        <v>#DIV/0!</v>
      </c>
    </row>
    <row r="101" spans="1:17" s="108" customFormat="1" ht="22.5" customHeight="1" hidden="1">
      <c r="A101" s="81" t="s">
        <v>194</v>
      </c>
      <c r="B101" s="81"/>
      <c r="C101" s="234">
        <f t="shared" si="60"/>
        <v>0</v>
      </c>
      <c r="D101" s="234">
        <f t="shared" si="60"/>
        <v>0</v>
      </c>
      <c r="E101" s="234">
        <f t="shared" si="60"/>
        <v>0</v>
      </c>
      <c r="F101" s="236">
        <f t="shared" si="44"/>
        <v>0</v>
      </c>
      <c r="G101" s="151" t="e">
        <f t="shared" si="45"/>
        <v>#DIV/0!</v>
      </c>
      <c r="H101" s="236"/>
      <c r="I101" s="236"/>
      <c r="J101" s="236"/>
      <c r="K101" s="236">
        <f t="shared" si="46"/>
        <v>0</v>
      </c>
      <c r="L101" s="151" t="e">
        <f t="shared" si="47"/>
        <v>#DIV/0!</v>
      </c>
      <c r="M101" s="357"/>
      <c r="N101" s="357"/>
      <c r="O101" s="357"/>
      <c r="P101" s="356">
        <f t="shared" si="48"/>
        <v>0</v>
      </c>
      <c r="Q101" s="338" t="e">
        <f t="shared" si="49"/>
        <v>#DIV/0!</v>
      </c>
    </row>
    <row r="102" spans="1:17" s="108" customFormat="1" ht="22.5" customHeight="1" hidden="1">
      <c r="A102" s="81" t="s">
        <v>302</v>
      </c>
      <c r="B102" s="81" t="s">
        <v>301</v>
      </c>
      <c r="C102" s="234">
        <f>C104-C103</f>
        <v>0</v>
      </c>
      <c r="D102" s="234">
        <f>D104-D103</f>
        <v>0</v>
      </c>
      <c r="E102" s="234">
        <f>E104-E103</f>
        <v>0</v>
      </c>
      <c r="F102" s="236">
        <f t="shared" si="44"/>
        <v>0</v>
      </c>
      <c r="G102" s="151" t="e">
        <f t="shared" si="45"/>
        <v>#DIV/0!</v>
      </c>
      <c r="H102" s="234">
        <f>H104-H103</f>
        <v>0</v>
      </c>
      <c r="I102" s="234">
        <f>I104-I103</f>
        <v>0</v>
      </c>
      <c r="J102" s="234">
        <f>J104-J103</f>
        <v>0</v>
      </c>
      <c r="K102" s="236">
        <f t="shared" si="46"/>
        <v>0</v>
      </c>
      <c r="L102" s="151" t="e">
        <f t="shared" si="47"/>
        <v>#DIV/0!</v>
      </c>
      <c r="M102" s="357">
        <f>M104-M103</f>
        <v>0</v>
      </c>
      <c r="N102" s="357">
        <f>N104-N103</f>
        <v>0</v>
      </c>
      <c r="O102" s="357">
        <f>O104-O103</f>
        <v>0</v>
      </c>
      <c r="P102" s="356">
        <f t="shared" si="48"/>
        <v>0</v>
      </c>
      <c r="Q102" s="338" t="e">
        <f t="shared" si="49"/>
        <v>#DIV/0!</v>
      </c>
    </row>
    <row r="103" spans="1:17" s="108" customFormat="1" ht="22.5" customHeight="1" hidden="1">
      <c r="A103" s="81" t="s">
        <v>193</v>
      </c>
      <c r="B103" s="81"/>
      <c r="C103" s="234">
        <f aca="true" t="shared" si="61" ref="C103:E104">H103+M103</f>
        <v>0</v>
      </c>
      <c r="D103" s="234">
        <f t="shared" si="61"/>
        <v>0</v>
      </c>
      <c r="E103" s="234">
        <f t="shared" si="61"/>
        <v>0</v>
      </c>
      <c r="F103" s="236">
        <f t="shared" si="44"/>
        <v>0</v>
      </c>
      <c r="G103" s="151" t="e">
        <f t="shared" si="45"/>
        <v>#DIV/0!</v>
      </c>
      <c r="H103" s="236"/>
      <c r="I103" s="236"/>
      <c r="J103" s="236"/>
      <c r="K103" s="236">
        <f t="shared" si="46"/>
        <v>0</v>
      </c>
      <c r="L103" s="151" t="e">
        <f t="shared" si="47"/>
        <v>#DIV/0!</v>
      </c>
      <c r="M103" s="357"/>
      <c r="N103" s="357"/>
      <c r="O103" s="357"/>
      <c r="P103" s="356">
        <f t="shared" si="48"/>
        <v>0</v>
      </c>
      <c r="Q103" s="338" t="e">
        <f t="shared" si="49"/>
        <v>#DIV/0!</v>
      </c>
    </row>
    <row r="104" spans="1:17" s="108" customFormat="1" ht="22.5" customHeight="1" hidden="1">
      <c r="A104" s="81" t="s">
        <v>194</v>
      </c>
      <c r="B104" s="81"/>
      <c r="C104" s="234">
        <f t="shared" si="61"/>
        <v>0</v>
      </c>
      <c r="D104" s="234">
        <f t="shared" si="61"/>
        <v>0</v>
      </c>
      <c r="E104" s="234">
        <f t="shared" si="61"/>
        <v>0</v>
      </c>
      <c r="F104" s="236">
        <f t="shared" si="44"/>
        <v>0</v>
      </c>
      <c r="G104" s="151" t="e">
        <f t="shared" si="45"/>
        <v>#DIV/0!</v>
      </c>
      <c r="H104" s="236"/>
      <c r="I104" s="236"/>
      <c r="J104" s="236"/>
      <c r="K104" s="236">
        <f t="shared" si="46"/>
        <v>0</v>
      </c>
      <c r="L104" s="151" t="e">
        <f t="shared" si="47"/>
        <v>#DIV/0!</v>
      </c>
      <c r="M104" s="357"/>
      <c r="N104" s="357"/>
      <c r="O104" s="357"/>
      <c r="P104" s="356">
        <f t="shared" si="48"/>
        <v>0</v>
      </c>
      <c r="Q104" s="338" t="e">
        <f t="shared" si="49"/>
        <v>#DIV/0!</v>
      </c>
    </row>
    <row r="105" spans="1:17" s="108" customFormat="1" ht="22.5" customHeight="1" hidden="1">
      <c r="A105" s="81" t="s">
        <v>304</v>
      </c>
      <c r="B105" s="81" t="s">
        <v>303</v>
      </c>
      <c r="C105" s="234">
        <f>C107-C106</f>
        <v>0</v>
      </c>
      <c r="D105" s="234">
        <f>D107-D106</f>
        <v>0</v>
      </c>
      <c r="E105" s="234">
        <f>E107-E106</f>
        <v>0</v>
      </c>
      <c r="F105" s="236">
        <f t="shared" si="44"/>
        <v>0</v>
      </c>
      <c r="G105" s="151" t="e">
        <f t="shared" si="45"/>
        <v>#DIV/0!</v>
      </c>
      <c r="H105" s="234">
        <f>H107-H106</f>
        <v>0</v>
      </c>
      <c r="I105" s="234">
        <f>I107-I106</f>
        <v>0</v>
      </c>
      <c r="J105" s="234">
        <f>J107-J106</f>
        <v>0</v>
      </c>
      <c r="K105" s="236">
        <f t="shared" si="46"/>
        <v>0</v>
      </c>
      <c r="L105" s="151" t="e">
        <f t="shared" si="47"/>
        <v>#DIV/0!</v>
      </c>
      <c r="M105" s="357">
        <f>M107-M106</f>
        <v>0</v>
      </c>
      <c r="N105" s="357">
        <f>N107-N106</f>
        <v>0</v>
      </c>
      <c r="O105" s="357">
        <f>O107-O106</f>
        <v>0</v>
      </c>
      <c r="P105" s="356">
        <f t="shared" si="48"/>
        <v>0</v>
      </c>
      <c r="Q105" s="338" t="e">
        <f t="shared" si="49"/>
        <v>#DIV/0!</v>
      </c>
    </row>
    <row r="106" spans="1:17" s="108" customFormat="1" ht="22.5" customHeight="1" hidden="1">
      <c r="A106" s="81" t="s">
        <v>193</v>
      </c>
      <c r="B106" s="81"/>
      <c r="C106" s="234">
        <f aca="true" t="shared" si="62" ref="C106:E107">H106+M106</f>
        <v>0</v>
      </c>
      <c r="D106" s="234">
        <f t="shared" si="62"/>
        <v>0</v>
      </c>
      <c r="E106" s="234">
        <f t="shared" si="62"/>
        <v>0</v>
      </c>
      <c r="F106" s="236">
        <f t="shared" si="44"/>
        <v>0</v>
      </c>
      <c r="G106" s="151" t="e">
        <f t="shared" si="45"/>
        <v>#DIV/0!</v>
      </c>
      <c r="H106" s="236"/>
      <c r="I106" s="236"/>
      <c r="J106" s="236"/>
      <c r="K106" s="236">
        <f t="shared" si="46"/>
        <v>0</v>
      </c>
      <c r="L106" s="151" t="e">
        <f t="shared" si="47"/>
        <v>#DIV/0!</v>
      </c>
      <c r="M106" s="357"/>
      <c r="N106" s="357"/>
      <c r="O106" s="357"/>
      <c r="P106" s="356">
        <f t="shared" si="48"/>
        <v>0</v>
      </c>
      <c r="Q106" s="338" t="e">
        <f t="shared" si="49"/>
        <v>#DIV/0!</v>
      </c>
    </row>
    <row r="107" spans="1:17" s="108" customFormat="1" ht="22.5" customHeight="1" hidden="1">
      <c r="A107" s="81" t="s">
        <v>194</v>
      </c>
      <c r="B107" s="81"/>
      <c r="C107" s="234">
        <f t="shared" si="62"/>
        <v>0</v>
      </c>
      <c r="D107" s="234">
        <f t="shared" si="62"/>
        <v>0</v>
      </c>
      <c r="E107" s="234">
        <f t="shared" si="62"/>
        <v>0</v>
      </c>
      <c r="F107" s="236">
        <f t="shared" si="44"/>
        <v>0</v>
      </c>
      <c r="G107" s="151" t="e">
        <f t="shared" si="45"/>
        <v>#DIV/0!</v>
      </c>
      <c r="H107" s="236"/>
      <c r="I107" s="236"/>
      <c r="J107" s="236"/>
      <c r="K107" s="236">
        <f t="shared" si="46"/>
        <v>0</v>
      </c>
      <c r="L107" s="151" t="e">
        <f t="shared" si="47"/>
        <v>#DIV/0!</v>
      </c>
      <c r="M107" s="357"/>
      <c r="N107" s="357"/>
      <c r="O107" s="357"/>
      <c r="P107" s="356">
        <f t="shared" si="48"/>
        <v>0</v>
      </c>
      <c r="Q107" s="338" t="e">
        <f t="shared" si="49"/>
        <v>#DIV/0!</v>
      </c>
    </row>
    <row r="108" spans="1:17" s="108" customFormat="1" ht="22.5" customHeight="1" hidden="1">
      <c r="A108" s="81" t="s">
        <v>306</v>
      </c>
      <c r="B108" s="81" t="s">
        <v>305</v>
      </c>
      <c r="C108" s="234">
        <f>C110-C109</f>
        <v>0</v>
      </c>
      <c r="D108" s="234">
        <f>D110-D109</f>
        <v>0</v>
      </c>
      <c r="E108" s="234">
        <f>E110-E109</f>
        <v>0</v>
      </c>
      <c r="F108" s="236">
        <f t="shared" si="44"/>
        <v>0</v>
      </c>
      <c r="G108" s="151" t="e">
        <f t="shared" si="45"/>
        <v>#DIV/0!</v>
      </c>
      <c r="H108" s="234">
        <f>H110-H109</f>
        <v>0</v>
      </c>
      <c r="I108" s="234">
        <f>I110-I109</f>
        <v>0</v>
      </c>
      <c r="J108" s="234">
        <f>J110-J109</f>
        <v>0</v>
      </c>
      <c r="K108" s="236">
        <f t="shared" si="46"/>
        <v>0</v>
      </c>
      <c r="L108" s="151" t="e">
        <f t="shared" si="47"/>
        <v>#DIV/0!</v>
      </c>
      <c r="M108" s="357">
        <f>M110-M109</f>
        <v>0</v>
      </c>
      <c r="N108" s="357">
        <f>N110-N109</f>
        <v>0</v>
      </c>
      <c r="O108" s="357">
        <f>O110-O109</f>
        <v>0</v>
      </c>
      <c r="P108" s="356">
        <f t="shared" si="48"/>
        <v>0</v>
      </c>
      <c r="Q108" s="338" t="e">
        <f t="shared" si="49"/>
        <v>#DIV/0!</v>
      </c>
    </row>
    <row r="109" spans="1:17" s="108" customFormat="1" ht="22.5" customHeight="1" hidden="1">
      <c r="A109" s="81" t="s">
        <v>193</v>
      </c>
      <c r="B109" s="81"/>
      <c r="C109" s="234">
        <f aca="true" t="shared" si="63" ref="C109:E110">H109+M109</f>
        <v>0</v>
      </c>
      <c r="D109" s="234">
        <f t="shared" si="63"/>
        <v>0</v>
      </c>
      <c r="E109" s="234">
        <f t="shared" si="63"/>
        <v>0</v>
      </c>
      <c r="F109" s="236">
        <f t="shared" si="44"/>
        <v>0</v>
      </c>
      <c r="G109" s="151" t="e">
        <f t="shared" si="45"/>
        <v>#DIV/0!</v>
      </c>
      <c r="H109" s="236"/>
      <c r="I109" s="236"/>
      <c r="J109" s="236"/>
      <c r="K109" s="236">
        <f t="shared" si="46"/>
        <v>0</v>
      </c>
      <c r="L109" s="151" t="e">
        <f t="shared" si="47"/>
        <v>#DIV/0!</v>
      </c>
      <c r="M109" s="357"/>
      <c r="N109" s="357"/>
      <c r="O109" s="357"/>
      <c r="P109" s="356">
        <f t="shared" si="48"/>
        <v>0</v>
      </c>
      <c r="Q109" s="338" t="e">
        <f t="shared" si="49"/>
        <v>#DIV/0!</v>
      </c>
    </row>
    <row r="110" spans="1:17" s="108" customFormat="1" ht="22.5" customHeight="1" hidden="1">
      <c r="A110" s="81" t="s">
        <v>194</v>
      </c>
      <c r="B110" s="81"/>
      <c r="C110" s="234">
        <f t="shared" si="63"/>
        <v>0</v>
      </c>
      <c r="D110" s="234">
        <f t="shared" si="63"/>
        <v>0</v>
      </c>
      <c r="E110" s="234">
        <f t="shared" si="63"/>
        <v>0</v>
      </c>
      <c r="F110" s="236">
        <f t="shared" si="44"/>
        <v>0</v>
      </c>
      <c r="G110" s="151" t="e">
        <f t="shared" si="45"/>
        <v>#DIV/0!</v>
      </c>
      <c r="H110" s="236"/>
      <c r="I110" s="236"/>
      <c r="J110" s="236"/>
      <c r="K110" s="236">
        <f t="shared" si="46"/>
        <v>0</v>
      </c>
      <c r="L110" s="151" t="e">
        <f t="shared" si="47"/>
        <v>#DIV/0!</v>
      </c>
      <c r="M110" s="357"/>
      <c r="N110" s="357"/>
      <c r="O110" s="357"/>
      <c r="P110" s="356">
        <f t="shared" si="48"/>
        <v>0</v>
      </c>
      <c r="Q110" s="338" t="e">
        <f t="shared" si="49"/>
        <v>#DIV/0!</v>
      </c>
    </row>
    <row r="111" spans="1:17" s="108" customFormat="1" ht="22.5" customHeight="1" hidden="1">
      <c r="A111" s="81" t="s">
        <v>182</v>
      </c>
      <c r="B111" s="81" t="s">
        <v>181</v>
      </c>
      <c r="C111" s="234">
        <f>C113-C112</f>
        <v>0</v>
      </c>
      <c r="D111" s="234">
        <f>D113-D112</f>
        <v>0</v>
      </c>
      <c r="E111" s="234">
        <f>E113-E112</f>
        <v>0</v>
      </c>
      <c r="F111" s="236">
        <f t="shared" si="44"/>
        <v>0</v>
      </c>
      <c r="G111" s="151" t="e">
        <f t="shared" si="45"/>
        <v>#DIV/0!</v>
      </c>
      <c r="H111" s="234">
        <f>H113-H112</f>
        <v>0</v>
      </c>
      <c r="I111" s="234">
        <f>I113-I112</f>
        <v>0</v>
      </c>
      <c r="J111" s="234">
        <f>J113-J112</f>
        <v>0</v>
      </c>
      <c r="K111" s="236">
        <f t="shared" si="46"/>
        <v>0</v>
      </c>
      <c r="L111" s="151" t="e">
        <f t="shared" si="47"/>
        <v>#DIV/0!</v>
      </c>
      <c r="M111" s="357">
        <f>M113-M112</f>
        <v>0</v>
      </c>
      <c r="N111" s="357">
        <f>N113-N112</f>
        <v>0</v>
      </c>
      <c r="O111" s="357">
        <f>O113-O112</f>
        <v>0</v>
      </c>
      <c r="P111" s="356">
        <f t="shared" si="48"/>
        <v>0</v>
      </c>
      <c r="Q111" s="338" t="e">
        <f t="shared" si="49"/>
        <v>#DIV/0!</v>
      </c>
    </row>
    <row r="112" spans="1:17" s="108" customFormat="1" ht="22.5" customHeight="1" hidden="1">
      <c r="A112" s="81" t="s">
        <v>193</v>
      </c>
      <c r="B112" s="81"/>
      <c r="C112" s="234">
        <f aca="true" t="shared" si="64" ref="C112:E113">H112+M112</f>
        <v>0</v>
      </c>
      <c r="D112" s="234">
        <f t="shared" si="64"/>
        <v>0</v>
      </c>
      <c r="E112" s="234">
        <f t="shared" si="64"/>
        <v>0</v>
      </c>
      <c r="F112" s="236">
        <f t="shared" si="44"/>
        <v>0</v>
      </c>
      <c r="G112" s="151" t="e">
        <f t="shared" si="45"/>
        <v>#DIV/0!</v>
      </c>
      <c r="H112" s="236"/>
      <c r="I112" s="236"/>
      <c r="J112" s="236"/>
      <c r="K112" s="236">
        <f t="shared" si="46"/>
        <v>0</v>
      </c>
      <c r="L112" s="151" t="e">
        <f t="shared" si="47"/>
        <v>#DIV/0!</v>
      </c>
      <c r="M112" s="357"/>
      <c r="N112" s="357"/>
      <c r="O112" s="357"/>
      <c r="P112" s="356">
        <f t="shared" si="48"/>
        <v>0</v>
      </c>
      <c r="Q112" s="338" t="e">
        <f t="shared" si="49"/>
        <v>#DIV/0!</v>
      </c>
    </row>
    <row r="113" spans="1:17" s="108" customFormat="1" ht="22.5" customHeight="1" hidden="1">
      <c r="A113" s="81" t="s">
        <v>194</v>
      </c>
      <c r="B113" s="81"/>
      <c r="C113" s="234">
        <f t="shared" si="64"/>
        <v>0</v>
      </c>
      <c r="D113" s="234">
        <f t="shared" si="64"/>
        <v>0</v>
      </c>
      <c r="E113" s="234">
        <f t="shared" si="64"/>
        <v>0</v>
      </c>
      <c r="F113" s="236">
        <f t="shared" si="44"/>
        <v>0</v>
      </c>
      <c r="G113" s="151" t="e">
        <f t="shared" si="45"/>
        <v>#DIV/0!</v>
      </c>
      <c r="H113" s="236"/>
      <c r="I113" s="236"/>
      <c r="J113" s="236"/>
      <c r="K113" s="236">
        <f t="shared" si="46"/>
        <v>0</v>
      </c>
      <c r="L113" s="151" t="e">
        <f t="shared" si="47"/>
        <v>#DIV/0!</v>
      </c>
      <c r="M113" s="357"/>
      <c r="N113" s="357"/>
      <c r="O113" s="357"/>
      <c r="P113" s="356">
        <f t="shared" si="48"/>
        <v>0</v>
      </c>
      <c r="Q113" s="338" t="e">
        <f t="shared" si="49"/>
        <v>#DIV/0!</v>
      </c>
    </row>
    <row r="114" spans="1:17" s="107" customFormat="1" ht="22.5" customHeight="1">
      <c r="A114" s="80" t="s">
        <v>190</v>
      </c>
      <c r="B114" s="80"/>
      <c r="C114" s="233">
        <f>C116-C115</f>
        <v>2182.3</v>
      </c>
      <c r="D114" s="233">
        <f>D116-D115</f>
        <v>8804.9</v>
      </c>
      <c r="E114" s="233">
        <f>E116-E115</f>
        <v>4732.342</v>
      </c>
      <c r="F114" s="210">
        <f t="shared" si="44"/>
        <v>-4072.558</v>
      </c>
      <c r="G114" s="150">
        <f t="shared" si="45"/>
        <v>53.74668650410567</v>
      </c>
      <c r="H114" s="233">
        <f>H116-H115</f>
        <v>2182.3</v>
      </c>
      <c r="I114" s="233">
        <f>I116-I115</f>
        <v>8804.9</v>
      </c>
      <c r="J114" s="233">
        <f>J116-J115</f>
        <v>4732.342</v>
      </c>
      <c r="K114" s="210">
        <f t="shared" si="46"/>
        <v>-4072.558</v>
      </c>
      <c r="L114" s="150">
        <f t="shared" si="47"/>
        <v>53.74668650410567</v>
      </c>
      <c r="M114" s="353">
        <f>M116-M115</f>
        <v>0</v>
      </c>
      <c r="N114" s="353">
        <f>N116-N115</f>
        <v>0</v>
      </c>
      <c r="O114" s="353">
        <f>O116-O115</f>
        <v>0</v>
      </c>
      <c r="P114" s="345">
        <f t="shared" si="48"/>
        <v>0</v>
      </c>
      <c r="Q114" s="342" t="e">
        <f t="shared" si="49"/>
        <v>#DIV/0!</v>
      </c>
    </row>
    <row r="115" spans="1:17" s="107" customFormat="1" ht="22.5" customHeight="1" hidden="1">
      <c r="A115" s="80" t="s">
        <v>193</v>
      </c>
      <c r="B115" s="80"/>
      <c r="C115" s="233">
        <f aca="true" t="shared" si="65" ref="C115:E116">H115+M115</f>
        <v>0</v>
      </c>
      <c r="D115" s="233">
        <f t="shared" si="65"/>
        <v>0</v>
      </c>
      <c r="E115" s="233">
        <f t="shared" si="65"/>
        <v>0</v>
      </c>
      <c r="F115" s="210">
        <f t="shared" si="44"/>
        <v>0</v>
      </c>
      <c r="G115" s="150" t="e">
        <f t="shared" si="45"/>
        <v>#DIV/0!</v>
      </c>
      <c r="H115" s="210"/>
      <c r="I115" s="210"/>
      <c r="J115" s="210"/>
      <c r="K115" s="210">
        <f t="shared" si="46"/>
        <v>0</v>
      </c>
      <c r="L115" s="150" t="e">
        <f t="shared" si="47"/>
        <v>#DIV/0!</v>
      </c>
      <c r="M115" s="353"/>
      <c r="N115" s="353"/>
      <c r="O115" s="353"/>
      <c r="P115" s="345">
        <f t="shared" si="48"/>
        <v>0</v>
      </c>
      <c r="Q115" s="342" t="e">
        <f t="shared" si="49"/>
        <v>#DIV/0!</v>
      </c>
    </row>
    <row r="116" spans="1:17" s="107" customFormat="1" ht="22.5" customHeight="1">
      <c r="A116" s="80" t="s">
        <v>194</v>
      </c>
      <c r="B116" s="80"/>
      <c r="C116" s="233">
        <f t="shared" si="65"/>
        <v>2182.3</v>
      </c>
      <c r="D116" s="233">
        <f t="shared" si="65"/>
        <v>8804.9</v>
      </c>
      <c r="E116" s="233">
        <f t="shared" si="65"/>
        <v>4732.342</v>
      </c>
      <c r="F116" s="210">
        <f t="shared" si="44"/>
        <v>-4072.558</v>
      </c>
      <c r="G116" s="150">
        <f t="shared" si="45"/>
        <v>53.74668650410567</v>
      </c>
      <c r="H116" s="210">
        <v>2182.3</v>
      </c>
      <c r="I116" s="210">
        <v>8804.9</v>
      </c>
      <c r="J116" s="210">
        <v>4732.342</v>
      </c>
      <c r="K116" s="210">
        <f t="shared" si="46"/>
        <v>-4072.558</v>
      </c>
      <c r="L116" s="150">
        <f t="shared" si="47"/>
        <v>53.74668650410567</v>
      </c>
      <c r="M116" s="353"/>
      <c r="N116" s="353"/>
      <c r="O116" s="353"/>
      <c r="P116" s="345">
        <f t="shared" si="48"/>
        <v>0</v>
      </c>
      <c r="Q116" s="342" t="e">
        <f t="shared" si="49"/>
        <v>#DIV/0!</v>
      </c>
    </row>
    <row r="117" spans="1:17" s="108" customFormat="1" ht="22.5" customHeight="1">
      <c r="A117" s="81"/>
      <c r="B117" s="109"/>
      <c r="C117" s="234"/>
      <c r="D117" s="234"/>
      <c r="E117" s="236"/>
      <c r="F117" s="210"/>
      <c r="G117" s="150"/>
      <c r="H117" s="236"/>
      <c r="I117" s="236"/>
      <c r="J117" s="236"/>
      <c r="K117" s="210"/>
      <c r="L117" s="150"/>
      <c r="M117" s="234"/>
      <c r="N117" s="234"/>
      <c r="O117" s="234"/>
      <c r="P117" s="210"/>
      <c r="Q117" s="150"/>
    </row>
    <row r="118" spans="1:17" s="108" customFormat="1" ht="22.5" customHeight="1">
      <c r="A118" s="75" t="s">
        <v>3</v>
      </c>
      <c r="B118" s="109"/>
      <c r="C118" s="233">
        <f>C120-C119</f>
        <v>2165360.6</v>
      </c>
      <c r="D118" s="233">
        <f>D120-D119</f>
        <v>3259812.3260000004</v>
      </c>
      <c r="E118" s="233">
        <f>E120-E119</f>
        <v>2761766.516</v>
      </c>
      <c r="F118" s="210">
        <f aca="true" t="shared" si="66" ref="F118:F153">E118-D118</f>
        <v>-498045.8100000005</v>
      </c>
      <c r="G118" s="150">
        <f aca="true" t="shared" si="67" ref="G118:G153">E118/D118*100</f>
        <v>84.72164161023544</v>
      </c>
      <c r="H118" s="353">
        <f>H120-H119</f>
        <v>0</v>
      </c>
      <c r="I118" s="233">
        <f>I120-I119</f>
        <v>567913.8</v>
      </c>
      <c r="J118" s="233">
        <f>J120-J119</f>
        <v>493534.357</v>
      </c>
      <c r="K118" s="210">
        <f aca="true" t="shared" si="68" ref="K118:K153">J118-I118</f>
        <v>-74379.44300000003</v>
      </c>
      <c r="L118" s="150">
        <f aca="true" t="shared" si="69" ref="L118:L153">J118/I118*100</f>
        <v>86.90304003882278</v>
      </c>
      <c r="M118" s="233">
        <f>M120-M119</f>
        <v>2165360.6</v>
      </c>
      <c r="N118" s="233">
        <f>N120-N119</f>
        <v>2691898.526</v>
      </c>
      <c r="O118" s="233">
        <f>O120-O119</f>
        <v>2268232.159</v>
      </c>
      <c r="P118" s="210">
        <f aca="true" t="shared" si="70" ref="P118:P153">O118-N118</f>
        <v>-423666.3670000001</v>
      </c>
      <c r="Q118" s="150">
        <f aca="true" t="shared" si="71" ref="Q118:Q153">O118/N118*100</f>
        <v>84.26142876828486</v>
      </c>
    </row>
    <row r="119" spans="1:17" s="107" customFormat="1" ht="22.5" customHeight="1">
      <c r="A119" s="80" t="s">
        <v>193</v>
      </c>
      <c r="B119" s="79"/>
      <c r="C119" s="233">
        <f aca="true" t="shared" si="72" ref="C119:E120">C122+C152</f>
        <v>2115</v>
      </c>
      <c r="D119" s="233">
        <f t="shared" si="72"/>
        <v>13978.6</v>
      </c>
      <c r="E119" s="233">
        <f t="shared" si="72"/>
        <v>14030.252</v>
      </c>
      <c r="F119" s="210">
        <f t="shared" si="66"/>
        <v>51.652000000000044</v>
      </c>
      <c r="G119" s="150">
        <f t="shared" si="67"/>
        <v>100.36950767601907</v>
      </c>
      <c r="H119" s="353">
        <f aca="true" t="shared" si="73" ref="H119:J120">H122+H152</f>
        <v>0</v>
      </c>
      <c r="I119" s="353">
        <f t="shared" si="73"/>
        <v>0</v>
      </c>
      <c r="J119" s="353">
        <f t="shared" si="73"/>
        <v>0</v>
      </c>
      <c r="K119" s="345">
        <f t="shared" si="68"/>
        <v>0</v>
      </c>
      <c r="L119" s="342" t="e">
        <f t="shared" si="69"/>
        <v>#DIV/0!</v>
      </c>
      <c r="M119" s="233">
        <f aca="true" t="shared" si="74" ref="M119:O120">M122+M152</f>
        <v>2115</v>
      </c>
      <c r="N119" s="233">
        <f t="shared" si="74"/>
        <v>13978.6</v>
      </c>
      <c r="O119" s="233">
        <f t="shared" si="74"/>
        <v>14030.252</v>
      </c>
      <c r="P119" s="210">
        <f t="shared" si="70"/>
        <v>51.652000000000044</v>
      </c>
      <c r="Q119" s="150">
        <f t="shared" si="71"/>
        <v>100.36950767601907</v>
      </c>
    </row>
    <row r="120" spans="1:17" s="107" customFormat="1" ht="22.5" customHeight="1">
      <c r="A120" s="80" t="s">
        <v>194</v>
      </c>
      <c r="B120" s="80"/>
      <c r="C120" s="233">
        <f t="shared" si="72"/>
        <v>2167475.6</v>
      </c>
      <c r="D120" s="233">
        <f t="shared" si="72"/>
        <v>3273790.9260000004</v>
      </c>
      <c r="E120" s="233">
        <f t="shared" si="72"/>
        <v>2775796.7679999997</v>
      </c>
      <c r="F120" s="210">
        <f t="shared" si="66"/>
        <v>-497994.15800000075</v>
      </c>
      <c r="G120" s="150">
        <f t="shared" si="67"/>
        <v>84.7884556693893</v>
      </c>
      <c r="H120" s="353">
        <f t="shared" si="73"/>
        <v>0</v>
      </c>
      <c r="I120" s="233">
        <f t="shared" si="73"/>
        <v>567913.8</v>
      </c>
      <c r="J120" s="233">
        <f t="shared" si="73"/>
        <v>493534.357</v>
      </c>
      <c r="K120" s="210">
        <f t="shared" si="68"/>
        <v>-74379.44300000003</v>
      </c>
      <c r="L120" s="150">
        <f t="shared" si="69"/>
        <v>86.90304003882278</v>
      </c>
      <c r="M120" s="233">
        <f t="shared" si="74"/>
        <v>2167475.6</v>
      </c>
      <c r="N120" s="233">
        <f t="shared" si="74"/>
        <v>2705877.126</v>
      </c>
      <c r="O120" s="233">
        <f t="shared" si="74"/>
        <v>2282262.411</v>
      </c>
      <c r="P120" s="210">
        <f t="shared" si="70"/>
        <v>-423614.7150000003</v>
      </c>
      <c r="Q120" s="150">
        <f t="shared" si="71"/>
        <v>84.34464333470254</v>
      </c>
    </row>
    <row r="121" spans="1:17" s="107" customFormat="1" ht="22.5" customHeight="1">
      <c r="A121" s="80" t="s">
        <v>189</v>
      </c>
      <c r="B121" s="80"/>
      <c r="C121" s="233">
        <f>C123-C122</f>
        <v>2157153.4</v>
      </c>
      <c r="D121" s="233">
        <f>D123-D122</f>
        <v>3222600.2860000003</v>
      </c>
      <c r="E121" s="233">
        <f>E123-E122</f>
        <v>2728302.278</v>
      </c>
      <c r="F121" s="210">
        <f t="shared" si="66"/>
        <v>-494298.0080000004</v>
      </c>
      <c r="G121" s="150">
        <f t="shared" si="67"/>
        <v>84.66151665946944</v>
      </c>
      <c r="H121" s="353">
        <f>H123-H122</f>
        <v>0</v>
      </c>
      <c r="I121" s="233">
        <f>I123-I122</f>
        <v>567913.8</v>
      </c>
      <c r="J121" s="233">
        <f>J123-J122</f>
        <v>493534.357</v>
      </c>
      <c r="K121" s="210">
        <f t="shared" si="68"/>
        <v>-74379.44300000003</v>
      </c>
      <c r="L121" s="150">
        <f t="shared" si="69"/>
        <v>86.90304003882278</v>
      </c>
      <c r="M121" s="233">
        <f>M123-M122</f>
        <v>2157153.4</v>
      </c>
      <c r="N121" s="233">
        <f>N123-N122</f>
        <v>2654686.486</v>
      </c>
      <c r="O121" s="233">
        <f>O123-O122</f>
        <v>2234767.921</v>
      </c>
      <c r="P121" s="210">
        <f t="shared" si="70"/>
        <v>-419918.56499999994</v>
      </c>
      <c r="Q121" s="150">
        <f t="shared" si="71"/>
        <v>84.18199033239814</v>
      </c>
    </row>
    <row r="122" spans="1:17" s="107" customFormat="1" ht="22.5" customHeight="1">
      <c r="A122" s="80" t="s">
        <v>193</v>
      </c>
      <c r="B122" s="80"/>
      <c r="C122" s="233">
        <f aca="true" t="shared" si="75" ref="C122:E123">C125+C128+C131+C134+C137+C140+C143+C146+C149</f>
        <v>2115</v>
      </c>
      <c r="D122" s="233">
        <f t="shared" si="75"/>
        <v>13978.6</v>
      </c>
      <c r="E122" s="233">
        <f t="shared" si="75"/>
        <v>14030.252</v>
      </c>
      <c r="F122" s="210">
        <f t="shared" si="66"/>
        <v>51.652000000000044</v>
      </c>
      <c r="G122" s="150">
        <f t="shared" si="67"/>
        <v>100.36950767601907</v>
      </c>
      <c r="H122" s="353">
        <f aca="true" t="shared" si="76" ref="H122:J123">H125+H128+H131+H134+H137+H140+H143+H146+H149</f>
        <v>0</v>
      </c>
      <c r="I122" s="353">
        <f t="shared" si="76"/>
        <v>0</v>
      </c>
      <c r="J122" s="353">
        <f t="shared" si="76"/>
        <v>0</v>
      </c>
      <c r="K122" s="345">
        <f t="shared" si="68"/>
        <v>0</v>
      </c>
      <c r="L122" s="342" t="e">
        <f t="shared" si="69"/>
        <v>#DIV/0!</v>
      </c>
      <c r="M122" s="233">
        <f aca="true" t="shared" si="77" ref="M122:O123">M125+M128+M131+M134+M137+M140+M143+M146+M149</f>
        <v>2115</v>
      </c>
      <c r="N122" s="233">
        <f t="shared" si="77"/>
        <v>13978.6</v>
      </c>
      <c r="O122" s="233">
        <f t="shared" si="77"/>
        <v>14030.252</v>
      </c>
      <c r="P122" s="210">
        <f t="shared" si="70"/>
        <v>51.652000000000044</v>
      </c>
      <c r="Q122" s="150">
        <f t="shared" si="71"/>
        <v>100.36950767601907</v>
      </c>
    </row>
    <row r="123" spans="1:17" s="107" customFormat="1" ht="22.5" customHeight="1">
      <c r="A123" s="80" t="s">
        <v>194</v>
      </c>
      <c r="B123" s="80"/>
      <c r="C123" s="233">
        <f t="shared" si="75"/>
        <v>2159268.4</v>
      </c>
      <c r="D123" s="233">
        <f t="shared" si="75"/>
        <v>3236578.8860000004</v>
      </c>
      <c r="E123" s="233">
        <f t="shared" si="75"/>
        <v>2742332.53</v>
      </c>
      <c r="F123" s="210">
        <f t="shared" si="66"/>
        <v>-494246.3560000006</v>
      </c>
      <c r="G123" s="150">
        <f t="shared" si="67"/>
        <v>84.72935857865568</v>
      </c>
      <c r="H123" s="353">
        <f t="shared" si="76"/>
        <v>0</v>
      </c>
      <c r="I123" s="233">
        <f t="shared" si="76"/>
        <v>567913.8</v>
      </c>
      <c r="J123" s="233">
        <f t="shared" si="76"/>
        <v>493534.357</v>
      </c>
      <c r="K123" s="210">
        <f t="shared" si="68"/>
        <v>-74379.44300000003</v>
      </c>
      <c r="L123" s="150">
        <f t="shared" si="69"/>
        <v>86.90304003882278</v>
      </c>
      <c r="M123" s="233">
        <f t="shared" si="77"/>
        <v>2159268.4</v>
      </c>
      <c r="N123" s="233">
        <f t="shared" si="77"/>
        <v>2668665.086</v>
      </c>
      <c r="O123" s="233">
        <f t="shared" si="77"/>
        <v>2248798.173</v>
      </c>
      <c r="P123" s="210">
        <f t="shared" si="70"/>
        <v>-419866.9130000002</v>
      </c>
      <c r="Q123" s="150">
        <f t="shared" si="71"/>
        <v>84.26678135062168</v>
      </c>
    </row>
    <row r="124" spans="1:17" s="108" customFormat="1" ht="22.5" customHeight="1">
      <c r="A124" s="81" t="s">
        <v>174</v>
      </c>
      <c r="B124" s="81" t="s">
        <v>173</v>
      </c>
      <c r="C124" s="234">
        <f>C126-C125</f>
        <v>1811763.4</v>
      </c>
      <c r="D124" s="234">
        <f>D126-D125</f>
        <v>2828686.256</v>
      </c>
      <c r="E124" s="234">
        <f>E126-E125</f>
        <v>2408673.647</v>
      </c>
      <c r="F124" s="236">
        <f t="shared" si="66"/>
        <v>-420012.6090000002</v>
      </c>
      <c r="G124" s="151">
        <f t="shared" si="67"/>
        <v>85.15167215490581</v>
      </c>
      <c r="H124" s="357">
        <f>H126-H125</f>
        <v>0</v>
      </c>
      <c r="I124" s="234">
        <f>I126-I125</f>
        <v>567913.8</v>
      </c>
      <c r="J124" s="234">
        <f>J126-J125</f>
        <v>493534.357</v>
      </c>
      <c r="K124" s="236">
        <f t="shared" si="68"/>
        <v>-74379.44300000003</v>
      </c>
      <c r="L124" s="151">
        <f t="shared" si="69"/>
        <v>86.90304003882278</v>
      </c>
      <c r="M124" s="234">
        <f>M126-M125</f>
        <v>1811763.4</v>
      </c>
      <c r="N124" s="234">
        <f>N126-N125</f>
        <v>2260772.456</v>
      </c>
      <c r="O124" s="234">
        <f>O126-O125</f>
        <v>1915139.29</v>
      </c>
      <c r="P124" s="236">
        <f t="shared" si="70"/>
        <v>-345633.16599999974</v>
      </c>
      <c r="Q124" s="151">
        <f t="shared" si="71"/>
        <v>84.711722531708</v>
      </c>
    </row>
    <row r="125" spans="1:17" s="108" customFormat="1" ht="22.5" customHeight="1">
      <c r="A125" s="81" t="s">
        <v>193</v>
      </c>
      <c r="B125" s="81"/>
      <c r="C125" s="357">
        <f aca="true" t="shared" si="78" ref="C125:E126">H125+M125</f>
        <v>0</v>
      </c>
      <c r="D125" s="234">
        <f t="shared" si="78"/>
        <v>2100</v>
      </c>
      <c r="E125" s="234">
        <f t="shared" si="78"/>
        <v>804.716</v>
      </c>
      <c r="F125" s="236">
        <f t="shared" si="66"/>
        <v>-1295.284</v>
      </c>
      <c r="G125" s="151">
        <f t="shared" si="67"/>
        <v>38.319809523809525</v>
      </c>
      <c r="H125" s="236"/>
      <c r="I125" s="236"/>
      <c r="J125" s="236"/>
      <c r="K125" s="356">
        <f t="shared" si="68"/>
        <v>0</v>
      </c>
      <c r="L125" s="338" t="e">
        <f t="shared" si="69"/>
        <v>#DIV/0!</v>
      </c>
      <c r="M125" s="234"/>
      <c r="N125" s="234">
        <v>2100</v>
      </c>
      <c r="O125" s="234">
        <v>804.716</v>
      </c>
      <c r="P125" s="236">
        <f t="shared" si="70"/>
        <v>-1295.284</v>
      </c>
      <c r="Q125" s="151">
        <f t="shared" si="71"/>
        <v>38.319809523809525</v>
      </c>
    </row>
    <row r="126" spans="1:17" s="108" customFormat="1" ht="22.5" customHeight="1">
      <c r="A126" s="81" t="s">
        <v>194</v>
      </c>
      <c r="B126" s="81"/>
      <c r="C126" s="234">
        <f t="shared" si="78"/>
        <v>1811763.4</v>
      </c>
      <c r="D126" s="234">
        <f t="shared" si="78"/>
        <v>2830786.256</v>
      </c>
      <c r="E126" s="234">
        <f t="shared" si="78"/>
        <v>2409478.363</v>
      </c>
      <c r="F126" s="236">
        <f t="shared" si="66"/>
        <v>-421307.89300000016</v>
      </c>
      <c r="G126" s="151">
        <f t="shared" si="67"/>
        <v>85.11693024837125</v>
      </c>
      <c r="H126" s="236"/>
      <c r="I126" s="236">
        <v>567913.8</v>
      </c>
      <c r="J126" s="236">
        <v>493534.357</v>
      </c>
      <c r="K126" s="236">
        <f t="shared" si="68"/>
        <v>-74379.44300000003</v>
      </c>
      <c r="L126" s="151">
        <f t="shared" si="69"/>
        <v>86.90304003882278</v>
      </c>
      <c r="M126" s="234">
        <v>1811763.4</v>
      </c>
      <c r="N126" s="234">
        <v>2262872.456</v>
      </c>
      <c r="O126" s="234">
        <v>1915944.006</v>
      </c>
      <c r="P126" s="236">
        <f t="shared" si="70"/>
        <v>-346928.4499999997</v>
      </c>
      <c r="Q126" s="151">
        <f t="shared" si="71"/>
        <v>84.66866972196688</v>
      </c>
    </row>
    <row r="127" spans="1:17" s="108" customFormat="1" ht="22.5" customHeight="1">
      <c r="A127" s="81" t="s">
        <v>176</v>
      </c>
      <c r="B127" s="81" t="s">
        <v>175</v>
      </c>
      <c r="C127" s="234">
        <f>C129-C128</f>
        <v>338106.4</v>
      </c>
      <c r="D127" s="234">
        <f>D129-D128</f>
        <v>395796.93</v>
      </c>
      <c r="E127" s="234">
        <f>E129-E128</f>
        <v>324022.592</v>
      </c>
      <c r="F127" s="236">
        <f t="shared" si="66"/>
        <v>-71774.33799999999</v>
      </c>
      <c r="G127" s="151">
        <f t="shared" si="67"/>
        <v>81.86586793384173</v>
      </c>
      <c r="H127" s="357">
        <f>H129-H128</f>
        <v>0</v>
      </c>
      <c r="I127" s="357">
        <f>I129-I128</f>
        <v>0</v>
      </c>
      <c r="J127" s="357">
        <f>J129-J128</f>
        <v>0</v>
      </c>
      <c r="K127" s="356">
        <f t="shared" si="68"/>
        <v>0</v>
      </c>
      <c r="L127" s="338" t="e">
        <f t="shared" si="69"/>
        <v>#DIV/0!</v>
      </c>
      <c r="M127" s="234">
        <f>M129-M128</f>
        <v>338106.4</v>
      </c>
      <c r="N127" s="234">
        <f>N129-N128</f>
        <v>395796.93</v>
      </c>
      <c r="O127" s="234">
        <f>O129-O128</f>
        <v>324022.592</v>
      </c>
      <c r="P127" s="236">
        <f t="shared" si="70"/>
        <v>-71774.33799999999</v>
      </c>
      <c r="Q127" s="151">
        <f t="shared" si="71"/>
        <v>81.86586793384173</v>
      </c>
    </row>
    <row r="128" spans="1:17" s="108" customFormat="1" ht="22.5" customHeight="1">
      <c r="A128" s="81" t="s">
        <v>193</v>
      </c>
      <c r="B128" s="81"/>
      <c r="C128" s="357">
        <f aca="true" t="shared" si="79" ref="C128:E129">H128+M128</f>
        <v>0</v>
      </c>
      <c r="D128" s="357">
        <f t="shared" si="79"/>
        <v>0</v>
      </c>
      <c r="E128" s="234">
        <f t="shared" si="79"/>
        <v>154.4</v>
      </c>
      <c r="F128" s="236">
        <f t="shared" si="66"/>
        <v>154.4</v>
      </c>
      <c r="G128" s="338" t="e">
        <f t="shared" si="67"/>
        <v>#DIV/0!</v>
      </c>
      <c r="H128" s="356"/>
      <c r="I128" s="356"/>
      <c r="J128" s="356"/>
      <c r="K128" s="356">
        <f t="shared" si="68"/>
        <v>0</v>
      </c>
      <c r="L128" s="338" t="e">
        <f t="shared" si="69"/>
        <v>#DIV/0!</v>
      </c>
      <c r="M128" s="234"/>
      <c r="N128" s="234"/>
      <c r="O128" s="234">
        <v>154.4</v>
      </c>
      <c r="P128" s="236">
        <f t="shared" si="70"/>
        <v>154.4</v>
      </c>
      <c r="Q128" s="338" t="e">
        <f t="shared" si="71"/>
        <v>#DIV/0!</v>
      </c>
    </row>
    <row r="129" spans="1:17" s="108" customFormat="1" ht="22.5" customHeight="1">
      <c r="A129" s="81" t="s">
        <v>194</v>
      </c>
      <c r="B129" s="81"/>
      <c r="C129" s="234">
        <f t="shared" si="79"/>
        <v>338106.4</v>
      </c>
      <c r="D129" s="234">
        <f t="shared" si="79"/>
        <v>395796.93</v>
      </c>
      <c r="E129" s="234">
        <f t="shared" si="79"/>
        <v>324176.992</v>
      </c>
      <c r="F129" s="236">
        <f t="shared" si="66"/>
        <v>-71619.93799999997</v>
      </c>
      <c r="G129" s="151">
        <f t="shared" si="67"/>
        <v>81.90487783722831</v>
      </c>
      <c r="H129" s="356"/>
      <c r="I129" s="356"/>
      <c r="J129" s="356"/>
      <c r="K129" s="356">
        <f t="shared" si="68"/>
        <v>0</v>
      </c>
      <c r="L129" s="338" t="e">
        <f t="shared" si="69"/>
        <v>#DIV/0!</v>
      </c>
      <c r="M129" s="234">
        <v>338106.4</v>
      </c>
      <c r="N129" s="234">
        <v>395796.93</v>
      </c>
      <c r="O129" s="234">
        <v>324176.992</v>
      </c>
      <c r="P129" s="236">
        <f t="shared" si="70"/>
        <v>-71619.93799999997</v>
      </c>
      <c r="Q129" s="151">
        <f t="shared" si="71"/>
        <v>81.90487783722831</v>
      </c>
    </row>
    <row r="130" spans="1:17" s="108" customFormat="1" ht="22.5" customHeight="1">
      <c r="A130" s="81" t="s">
        <v>178</v>
      </c>
      <c r="B130" s="81" t="s">
        <v>177</v>
      </c>
      <c r="C130" s="234">
        <f>C132-C131</f>
        <v>9228.6</v>
      </c>
      <c r="D130" s="234">
        <f>D132-D131</f>
        <v>9095.7</v>
      </c>
      <c r="E130" s="234">
        <f>E132-E131</f>
        <v>7777.175</v>
      </c>
      <c r="F130" s="236">
        <f t="shared" si="66"/>
        <v>-1318.5250000000005</v>
      </c>
      <c r="G130" s="151">
        <f t="shared" si="67"/>
        <v>85.50386446342777</v>
      </c>
      <c r="H130" s="357">
        <f>H132-H131</f>
        <v>0</v>
      </c>
      <c r="I130" s="357">
        <f>I132-I131</f>
        <v>0</v>
      </c>
      <c r="J130" s="357">
        <f>J132-J131</f>
        <v>0</v>
      </c>
      <c r="K130" s="356">
        <f t="shared" si="68"/>
        <v>0</v>
      </c>
      <c r="L130" s="338" t="e">
        <f t="shared" si="69"/>
        <v>#DIV/0!</v>
      </c>
      <c r="M130" s="234">
        <f>M132-M131</f>
        <v>9228.6</v>
      </c>
      <c r="N130" s="234">
        <f>N132-N131</f>
        <v>9095.7</v>
      </c>
      <c r="O130" s="234">
        <f>O132-O131</f>
        <v>7777.175</v>
      </c>
      <c r="P130" s="236">
        <f t="shared" si="70"/>
        <v>-1318.5250000000005</v>
      </c>
      <c r="Q130" s="151">
        <f t="shared" si="71"/>
        <v>85.50386446342777</v>
      </c>
    </row>
    <row r="131" spans="1:17" s="108" customFormat="1" ht="22.5" customHeight="1" hidden="1">
      <c r="A131" s="81" t="s">
        <v>193</v>
      </c>
      <c r="B131" s="81"/>
      <c r="C131" s="234">
        <f aca="true" t="shared" si="80" ref="C131:E132">H131+M131</f>
        <v>0</v>
      </c>
      <c r="D131" s="234">
        <f t="shared" si="80"/>
        <v>0</v>
      </c>
      <c r="E131" s="234">
        <f t="shared" si="80"/>
        <v>0</v>
      </c>
      <c r="F131" s="236">
        <f t="shared" si="66"/>
        <v>0</v>
      </c>
      <c r="G131" s="151" t="e">
        <f t="shared" si="67"/>
        <v>#DIV/0!</v>
      </c>
      <c r="H131" s="356"/>
      <c r="I131" s="356"/>
      <c r="J131" s="356"/>
      <c r="K131" s="356">
        <f t="shared" si="68"/>
        <v>0</v>
      </c>
      <c r="L131" s="338" t="e">
        <f t="shared" si="69"/>
        <v>#DIV/0!</v>
      </c>
      <c r="M131" s="234"/>
      <c r="N131" s="234"/>
      <c r="O131" s="234"/>
      <c r="P131" s="236">
        <f t="shared" si="70"/>
        <v>0</v>
      </c>
      <c r="Q131" s="151" t="e">
        <f t="shared" si="71"/>
        <v>#DIV/0!</v>
      </c>
    </row>
    <row r="132" spans="1:17" s="108" customFormat="1" ht="22.5" customHeight="1">
      <c r="A132" s="81" t="s">
        <v>194</v>
      </c>
      <c r="B132" s="81"/>
      <c r="C132" s="234">
        <f t="shared" si="80"/>
        <v>9228.6</v>
      </c>
      <c r="D132" s="234">
        <f t="shared" si="80"/>
        <v>9095.7</v>
      </c>
      <c r="E132" s="234">
        <f t="shared" si="80"/>
        <v>7777.175</v>
      </c>
      <c r="F132" s="236">
        <f t="shared" si="66"/>
        <v>-1318.5250000000005</v>
      </c>
      <c r="G132" s="151">
        <f t="shared" si="67"/>
        <v>85.50386446342777</v>
      </c>
      <c r="H132" s="356"/>
      <c r="I132" s="356"/>
      <c r="J132" s="356"/>
      <c r="K132" s="356">
        <f t="shared" si="68"/>
        <v>0</v>
      </c>
      <c r="L132" s="338" t="e">
        <f t="shared" si="69"/>
        <v>#DIV/0!</v>
      </c>
      <c r="M132" s="234">
        <v>9228.6</v>
      </c>
      <c r="N132" s="234">
        <v>9095.7</v>
      </c>
      <c r="O132" s="234">
        <v>7777.175</v>
      </c>
      <c r="P132" s="236">
        <f t="shared" si="70"/>
        <v>-1318.5250000000005</v>
      </c>
      <c r="Q132" s="151">
        <f t="shared" si="71"/>
        <v>85.50386446342777</v>
      </c>
    </row>
    <row r="133" spans="1:17" s="108" customFormat="1" ht="22.5" customHeight="1" hidden="1">
      <c r="A133" s="81" t="s">
        <v>184</v>
      </c>
      <c r="B133" s="81" t="s">
        <v>183</v>
      </c>
      <c r="C133" s="234">
        <f>C135-C134</f>
        <v>0</v>
      </c>
      <c r="D133" s="234">
        <f>D135-D134</f>
        <v>0</v>
      </c>
      <c r="E133" s="234">
        <f>E135-E134</f>
        <v>0</v>
      </c>
      <c r="F133" s="236">
        <f t="shared" si="66"/>
        <v>0</v>
      </c>
      <c r="G133" s="151" t="e">
        <f t="shared" si="67"/>
        <v>#DIV/0!</v>
      </c>
      <c r="H133" s="357">
        <f>H135-H134</f>
        <v>0</v>
      </c>
      <c r="I133" s="357">
        <f>I135-I134</f>
        <v>0</v>
      </c>
      <c r="J133" s="357">
        <f>J135-J134</f>
        <v>0</v>
      </c>
      <c r="K133" s="356">
        <f t="shared" si="68"/>
        <v>0</v>
      </c>
      <c r="L133" s="338" t="e">
        <f t="shared" si="69"/>
        <v>#DIV/0!</v>
      </c>
      <c r="M133" s="234">
        <f>M135-M134</f>
        <v>0</v>
      </c>
      <c r="N133" s="234">
        <f>N135-N134</f>
        <v>0</v>
      </c>
      <c r="O133" s="234">
        <f>O135-O134</f>
        <v>0</v>
      </c>
      <c r="P133" s="236">
        <f t="shared" si="70"/>
        <v>0</v>
      </c>
      <c r="Q133" s="151" t="e">
        <f t="shared" si="71"/>
        <v>#DIV/0!</v>
      </c>
    </row>
    <row r="134" spans="1:17" s="108" customFormat="1" ht="22.5" customHeight="1" hidden="1">
      <c r="A134" s="81" t="s">
        <v>193</v>
      </c>
      <c r="B134" s="81"/>
      <c r="C134" s="234">
        <f aca="true" t="shared" si="81" ref="C134:E135">H134+M134</f>
        <v>0</v>
      </c>
      <c r="D134" s="234">
        <f t="shared" si="81"/>
        <v>0</v>
      </c>
      <c r="E134" s="234">
        <f t="shared" si="81"/>
        <v>0</v>
      </c>
      <c r="F134" s="236">
        <f t="shared" si="66"/>
        <v>0</v>
      </c>
      <c r="G134" s="151" t="e">
        <f t="shared" si="67"/>
        <v>#DIV/0!</v>
      </c>
      <c r="H134" s="356"/>
      <c r="I134" s="356"/>
      <c r="J134" s="356"/>
      <c r="K134" s="356">
        <f t="shared" si="68"/>
        <v>0</v>
      </c>
      <c r="L134" s="338" t="e">
        <f t="shared" si="69"/>
        <v>#DIV/0!</v>
      </c>
      <c r="M134" s="234"/>
      <c r="N134" s="234"/>
      <c r="O134" s="234"/>
      <c r="P134" s="236">
        <f t="shared" si="70"/>
        <v>0</v>
      </c>
      <c r="Q134" s="151" t="e">
        <f t="shared" si="71"/>
        <v>#DIV/0!</v>
      </c>
    </row>
    <row r="135" spans="1:17" s="108" customFormat="1" ht="22.5" customHeight="1" hidden="1">
      <c r="A135" s="81" t="s">
        <v>194</v>
      </c>
      <c r="B135" s="81"/>
      <c r="C135" s="234">
        <f t="shared" si="81"/>
        <v>0</v>
      </c>
      <c r="D135" s="234">
        <f t="shared" si="81"/>
        <v>0</v>
      </c>
      <c r="E135" s="234">
        <f t="shared" si="81"/>
        <v>0</v>
      </c>
      <c r="F135" s="236">
        <f t="shared" si="66"/>
        <v>0</v>
      </c>
      <c r="G135" s="151" t="e">
        <f t="shared" si="67"/>
        <v>#DIV/0!</v>
      </c>
      <c r="H135" s="356"/>
      <c r="I135" s="356"/>
      <c r="J135" s="356"/>
      <c r="K135" s="356">
        <f t="shared" si="68"/>
        <v>0</v>
      </c>
      <c r="L135" s="338" t="e">
        <f t="shared" si="69"/>
        <v>#DIV/0!</v>
      </c>
      <c r="M135" s="234"/>
      <c r="N135" s="234"/>
      <c r="O135" s="234"/>
      <c r="P135" s="236">
        <f t="shared" si="70"/>
        <v>0</v>
      </c>
      <c r="Q135" s="151" t="e">
        <f t="shared" si="71"/>
        <v>#DIV/0!</v>
      </c>
    </row>
    <row r="136" spans="1:17" s="108" customFormat="1" ht="22.5" customHeight="1">
      <c r="A136" s="81" t="s">
        <v>180</v>
      </c>
      <c r="B136" s="81" t="s">
        <v>179</v>
      </c>
      <c r="C136" s="234">
        <f>C138-C137</f>
        <v>170</v>
      </c>
      <c r="D136" s="357">
        <f>D138-D137</f>
        <v>0</v>
      </c>
      <c r="E136" s="357">
        <f>E138-E137</f>
        <v>0</v>
      </c>
      <c r="F136" s="356">
        <f t="shared" si="66"/>
        <v>0</v>
      </c>
      <c r="G136" s="338" t="e">
        <f t="shared" si="67"/>
        <v>#DIV/0!</v>
      </c>
      <c r="H136" s="357">
        <f>H138-H137</f>
        <v>0</v>
      </c>
      <c r="I136" s="357">
        <f>I138-I137</f>
        <v>0</v>
      </c>
      <c r="J136" s="357">
        <f>J138-J137</f>
        <v>0</v>
      </c>
      <c r="K136" s="356">
        <f t="shared" si="68"/>
        <v>0</v>
      </c>
      <c r="L136" s="338" t="e">
        <f t="shared" si="69"/>
        <v>#DIV/0!</v>
      </c>
      <c r="M136" s="234">
        <f>M138-M137</f>
        <v>170</v>
      </c>
      <c r="N136" s="357">
        <f>N138-N137</f>
        <v>0</v>
      </c>
      <c r="O136" s="357">
        <f>O138-O137</f>
        <v>0</v>
      </c>
      <c r="P136" s="356">
        <f t="shared" si="70"/>
        <v>0</v>
      </c>
      <c r="Q136" s="338" t="e">
        <f t="shared" si="71"/>
        <v>#DIV/0!</v>
      </c>
    </row>
    <row r="137" spans="1:17" s="108" customFormat="1" ht="22.5" customHeight="1" hidden="1">
      <c r="A137" s="81" t="s">
        <v>193</v>
      </c>
      <c r="B137" s="81"/>
      <c r="C137" s="234">
        <f aca="true" t="shared" si="82" ref="C137:E138">H137+M137</f>
        <v>0</v>
      </c>
      <c r="D137" s="357">
        <f t="shared" si="82"/>
        <v>0</v>
      </c>
      <c r="E137" s="357">
        <f t="shared" si="82"/>
        <v>0</v>
      </c>
      <c r="F137" s="356">
        <f t="shared" si="66"/>
        <v>0</v>
      </c>
      <c r="G137" s="338" t="e">
        <f t="shared" si="67"/>
        <v>#DIV/0!</v>
      </c>
      <c r="H137" s="356"/>
      <c r="I137" s="356"/>
      <c r="J137" s="356"/>
      <c r="K137" s="356">
        <f t="shared" si="68"/>
        <v>0</v>
      </c>
      <c r="L137" s="338" t="e">
        <f t="shared" si="69"/>
        <v>#DIV/0!</v>
      </c>
      <c r="M137" s="234"/>
      <c r="N137" s="357"/>
      <c r="O137" s="357"/>
      <c r="P137" s="356">
        <f t="shared" si="70"/>
        <v>0</v>
      </c>
      <c r="Q137" s="338" t="e">
        <f t="shared" si="71"/>
        <v>#DIV/0!</v>
      </c>
    </row>
    <row r="138" spans="1:17" s="108" customFormat="1" ht="22.5" customHeight="1">
      <c r="A138" s="81" t="s">
        <v>194</v>
      </c>
      <c r="B138" s="81"/>
      <c r="C138" s="234">
        <f t="shared" si="82"/>
        <v>170</v>
      </c>
      <c r="D138" s="357">
        <f t="shared" si="82"/>
        <v>0</v>
      </c>
      <c r="E138" s="357">
        <f t="shared" si="82"/>
        <v>0</v>
      </c>
      <c r="F138" s="356">
        <f t="shared" si="66"/>
        <v>0</v>
      </c>
      <c r="G138" s="338" t="e">
        <f t="shared" si="67"/>
        <v>#DIV/0!</v>
      </c>
      <c r="H138" s="356"/>
      <c r="I138" s="356"/>
      <c r="J138" s="356"/>
      <c r="K138" s="356">
        <f t="shared" si="68"/>
        <v>0</v>
      </c>
      <c r="L138" s="338" t="e">
        <f t="shared" si="69"/>
        <v>#DIV/0!</v>
      </c>
      <c r="M138" s="234">
        <v>170</v>
      </c>
      <c r="N138" s="357"/>
      <c r="O138" s="357"/>
      <c r="P138" s="356">
        <f t="shared" si="70"/>
        <v>0</v>
      </c>
      <c r="Q138" s="338" t="e">
        <f t="shared" si="71"/>
        <v>#DIV/0!</v>
      </c>
    </row>
    <row r="139" spans="1:17" s="108" customFormat="1" ht="22.5" customHeight="1" hidden="1">
      <c r="A139" s="81" t="s">
        <v>302</v>
      </c>
      <c r="B139" s="81" t="s">
        <v>301</v>
      </c>
      <c r="C139" s="234">
        <f>C141-C140</f>
        <v>0</v>
      </c>
      <c r="D139" s="234">
        <f>D141-D140</f>
        <v>0</v>
      </c>
      <c r="E139" s="234">
        <f>E141-E140</f>
        <v>0</v>
      </c>
      <c r="F139" s="236">
        <f t="shared" si="66"/>
        <v>0</v>
      </c>
      <c r="G139" s="151" t="e">
        <f t="shared" si="67"/>
        <v>#DIV/0!</v>
      </c>
      <c r="H139" s="357">
        <f>H141-H140</f>
        <v>0</v>
      </c>
      <c r="I139" s="357">
        <f>I141-I140</f>
        <v>0</v>
      </c>
      <c r="J139" s="357">
        <f>J141-J140</f>
        <v>0</v>
      </c>
      <c r="K139" s="356">
        <f t="shared" si="68"/>
        <v>0</v>
      </c>
      <c r="L139" s="338" t="e">
        <f t="shared" si="69"/>
        <v>#DIV/0!</v>
      </c>
      <c r="M139" s="234">
        <f>M141-M140</f>
        <v>0</v>
      </c>
      <c r="N139" s="234">
        <f>N141-N140</f>
        <v>0</v>
      </c>
      <c r="O139" s="234">
        <f>O141-O140</f>
        <v>0</v>
      </c>
      <c r="P139" s="236">
        <f t="shared" si="70"/>
        <v>0</v>
      </c>
      <c r="Q139" s="151" t="e">
        <f t="shared" si="71"/>
        <v>#DIV/0!</v>
      </c>
    </row>
    <row r="140" spans="1:17" s="108" customFormat="1" ht="22.5" customHeight="1" hidden="1">
      <c r="A140" s="81" t="s">
        <v>193</v>
      </c>
      <c r="B140" s="81"/>
      <c r="C140" s="234">
        <f aca="true" t="shared" si="83" ref="C140:E141">H140+M140</f>
        <v>0</v>
      </c>
      <c r="D140" s="234">
        <f t="shared" si="83"/>
        <v>0</v>
      </c>
      <c r="E140" s="234">
        <f t="shared" si="83"/>
        <v>0</v>
      </c>
      <c r="F140" s="236">
        <f t="shared" si="66"/>
        <v>0</v>
      </c>
      <c r="G140" s="151" t="e">
        <f t="shared" si="67"/>
        <v>#DIV/0!</v>
      </c>
      <c r="H140" s="356"/>
      <c r="I140" s="356"/>
      <c r="J140" s="356"/>
      <c r="K140" s="356">
        <f t="shared" si="68"/>
        <v>0</v>
      </c>
      <c r="L140" s="338" t="e">
        <f t="shared" si="69"/>
        <v>#DIV/0!</v>
      </c>
      <c r="M140" s="234"/>
      <c r="N140" s="234"/>
      <c r="O140" s="234"/>
      <c r="P140" s="236">
        <f t="shared" si="70"/>
        <v>0</v>
      </c>
      <c r="Q140" s="151" t="e">
        <f t="shared" si="71"/>
        <v>#DIV/0!</v>
      </c>
    </row>
    <row r="141" spans="1:17" s="108" customFormat="1" ht="22.5" customHeight="1" hidden="1">
      <c r="A141" s="81" t="s">
        <v>194</v>
      </c>
      <c r="B141" s="81"/>
      <c r="C141" s="234">
        <f t="shared" si="83"/>
        <v>0</v>
      </c>
      <c r="D141" s="234">
        <f t="shared" si="83"/>
        <v>0</v>
      </c>
      <c r="E141" s="234">
        <f t="shared" si="83"/>
        <v>0</v>
      </c>
      <c r="F141" s="236">
        <f t="shared" si="66"/>
        <v>0</v>
      </c>
      <c r="G141" s="151" t="e">
        <f t="shared" si="67"/>
        <v>#DIV/0!</v>
      </c>
      <c r="H141" s="356"/>
      <c r="I141" s="356"/>
      <c r="J141" s="356"/>
      <c r="K141" s="356">
        <f t="shared" si="68"/>
        <v>0</v>
      </c>
      <c r="L141" s="338" t="e">
        <f t="shared" si="69"/>
        <v>#DIV/0!</v>
      </c>
      <c r="M141" s="234"/>
      <c r="N141" s="234"/>
      <c r="O141" s="234"/>
      <c r="P141" s="236">
        <f t="shared" si="70"/>
        <v>0</v>
      </c>
      <c r="Q141" s="151" t="e">
        <f t="shared" si="71"/>
        <v>#DIV/0!</v>
      </c>
    </row>
    <row r="142" spans="1:17" s="108" customFormat="1" ht="22.5" customHeight="1" hidden="1">
      <c r="A142" s="81" t="s">
        <v>304</v>
      </c>
      <c r="B142" s="81" t="s">
        <v>303</v>
      </c>
      <c r="C142" s="234">
        <f>C144-C143</f>
        <v>0</v>
      </c>
      <c r="D142" s="234">
        <f>D144-D143</f>
        <v>0</v>
      </c>
      <c r="E142" s="234">
        <f>E144-E143</f>
        <v>0</v>
      </c>
      <c r="F142" s="236">
        <f t="shared" si="66"/>
        <v>0</v>
      </c>
      <c r="G142" s="151" t="e">
        <f t="shared" si="67"/>
        <v>#DIV/0!</v>
      </c>
      <c r="H142" s="357">
        <f>H144-H143</f>
        <v>0</v>
      </c>
      <c r="I142" s="357">
        <f>I144-I143</f>
        <v>0</v>
      </c>
      <c r="J142" s="357">
        <f>J144-J143</f>
        <v>0</v>
      </c>
      <c r="K142" s="356">
        <f t="shared" si="68"/>
        <v>0</v>
      </c>
      <c r="L142" s="338" t="e">
        <f t="shared" si="69"/>
        <v>#DIV/0!</v>
      </c>
      <c r="M142" s="234">
        <f>M144-M143</f>
        <v>0</v>
      </c>
      <c r="N142" s="234">
        <f>N144-N143</f>
        <v>0</v>
      </c>
      <c r="O142" s="234">
        <f>O144-O143</f>
        <v>0</v>
      </c>
      <c r="P142" s="236">
        <f t="shared" si="70"/>
        <v>0</v>
      </c>
      <c r="Q142" s="151" t="e">
        <f t="shared" si="71"/>
        <v>#DIV/0!</v>
      </c>
    </row>
    <row r="143" spans="1:17" s="108" customFormat="1" ht="22.5" customHeight="1" hidden="1">
      <c r="A143" s="81" t="s">
        <v>193</v>
      </c>
      <c r="B143" s="81"/>
      <c r="C143" s="234">
        <f aca="true" t="shared" si="84" ref="C143:E144">H143+M143</f>
        <v>0</v>
      </c>
      <c r="D143" s="234">
        <f t="shared" si="84"/>
        <v>0</v>
      </c>
      <c r="E143" s="234">
        <f t="shared" si="84"/>
        <v>0</v>
      </c>
      <c r="F143" s="236">
        <f t="shared" si="66"/>
        <v>0</v>
      </c>
      <c r="G143" s="151" t="e">
        <f t="shared" si="67"/>
        <v>#DIV/0!</v>
      </c>
      <c r="H143" s="356"/>
      <c r="I143" s="356"/>
      <c r="J143" s="356"/>
      <c r="K143" s="356">
        <f t="shared" si="68"/>
        <v>0</v>
      </c>
      <c r="L143" s="338" t="e">
        <f t="shared" si="69"/>
        <v>#DIV/0!</v>
      </c>
      <c r="M143" s="234"/>
      <c r="N143" s="234"/>
      <c r="O143" s="234"/>
      <c r="P143" s="236">
        <f t="shared" si="70"/>
        <v>0</v>
      </c>
      <c r="Q143" s="151" t="e">
        <f t="shared" si="71"/>
        <v>#DIV/0!</v>
      </c>
    </row>
    <row r="144" spans="1:17" s="108" customFormat="1" ht="22.5" customHeight="1" hidden="1">
      <c r="A144" s="81" t="s">
        <v>194</v>
      </c>
      <c r="B144" s="81"/>
      <c r="C144" s="234">
        <f t="shared" si="84"/>
        <v>0</v>
      </c>
      <c r="D144" s="234">
        <f t="shared" si="84"/>
        <v>0</v>
      </c>
      <c r="E144" s="234">
        <f t="shared" si="84"/>
        <v>0</v>
      </c>
      <c r="F144" s="236">
        <f t="shared" si="66"/>
        <v>0</v>
      </c>
      <c r="G144" s="151" t="e">
        <f t="shared" si="67"/>
        <v>#DIV/0!</v>
      </c>
      <c r="H144" s="356"/>
      <c r="I144" s="356"/>
      <c r="J144" s="356"/>
      <c r="K144" s="356">
        <f t="shared" si="68"/>
        <v>0</v>
      </c>
      <c r="L144" s="338" t="e">
        <f t="shared" si="69"/>
        <v>#DIV/0!</v>
      </c>
      <c r="M144" s="234"/>
      <c r="N144" s="234"/>
      <c r="O144" s="234"/>
      <c r="P144" s="236">
        <f t="shared" si="70"/>
        <v>0</v>
      </c>
      <c r="Q144" s="151" t="e">
        <f t="shared" si="71"/>
        <v>#DIV/0!</v>
      </c>
    </row>
    <row r="145" spans="1:17" s="108" customFormat="1" ht="22.5" customHeight="1" hidden="1">
      <c r="A145" s="81" t="s">
        <v>306</v>
      </c>
      <c r="B145" s="81" t="s">
        <v>305</v>
      </c>
      <c r="C145" s="234">
        <f>C147-C146</f>
        <v>0</v>
      </c>
      <c r="D145" s="234">
        <f>D147-D146</f>
        <v>0</v>
      </c>
      <c r="E145" s="234">
        <f>E147-E146</f>
        <v>0</v>
      </c>
      <c r="F145" s="236">
        <f t="shared" si="66"/>
        <v>0</v>
      </c>
      <c r="G145" s="151" t="e">
        <f t="shared" si="67"/>
        <v>#DIV/0!</v>
      </c>
      <c r="H145" s="357">
        <f>H147-H146</f>
        <v>0</v>
      </c>
      <c r="I145" s="357">
        <f>I147-I146</f>
        <v>0</v>
      </c>
      <c r="J145" s="357">
        <f>J147-J146</f>
        <v>0</v>
      </c>
      <c r="K145" s="356">
        <f t="shared" si="68"/>
        <v>0</v>
      </c>
      <c r="L145" s="338" t="e">
        <f t="shared" si="69"/>
        <v>#DIV/0!</v>
      </c>
      <c r="M145" s="234">
        <f>M147-M146</f>
        <v>0</v>
      </c>
      <c r="N145" s="234">
        <f>N147-N146</f>
        <v>0</v>
      </c>
      <c r="O145" s="234">
        <f>O147-O146</f>
        <v>0</v>
      </c>
      <c r="P145" s="236">
        <f t="shared" si="70"/>
        <v>0</v>
      </c>
      <c r="Q145" s="151" t="e">
        <f t="shared" si="71"/>
        <v>#DIV/0!</v>
      </c>
    </row>
    <row r="146" spans="1:17" s="108" customFormat="1" ht="22.5" customHeight="1" hidden="1">
      <c r="A146" s="81" t="s">
        <v>193</v>
      </c>
      <c r="B146" s="81"/>
      <c r="C146" s="234">
        <f aca="true" t="shared" si="85" ref="C146:E147">H146+M146</f>
        <v>0</v>
      </c>
      <c r="D146" s="234">
        <f t="shared" si="85"/>
        <v>0</v>
      </c>
      <c r="E146" s="234">
        <f t="shared" si="85"/>
        <v>0</v>
      </c>
      <c r="F146" s="236">
        <f t="shared" si="66"/>
        <v>0</v>
      </c>
      <c r="G146" s="151" t="e">
        <f t="shared" si="67"/>
        <v>#DIV/0!</v>
      </c>
      <c r="H146" s="356"/>
      <c r="I146" s="356"/>
      <c r="J146" s="356"/>
      <c r="K146" s="356">
        <f t="shared" si="68"/>
        <v>0</v>
      </c>
      <c r="L146" s="338" t="e">
        <f t="shared" si="69"/>
        <v>#DIV/0!</v>
      </c>
      <c r="M146" s="234"/>
      <c r="N146" s="234"/>
      <c r="O146" s="234"/>
      <c r="P146" s="236">
        <f t="shared" si="70"/>
        <v>0</v>
      </c>
      <c r="Q146" s="151" t="e">
        <f t="shared" si="71"/>
        <v>#DIV/0!</v>
      </c>
    </row>
    <row r="147" spans="1:17" s="108" customFormat="1" ht="22.5" customHeight="1" hidden="1">
      <c r="A147" s="81" t="s">
        <v>194</v>
      </c>
      <c r="B147" s="81"/>
      <c r="C147" s="234">
        <f t="shared" si="85"/>
        <v>0</v>
      </c>
      <c r="D147" s="234">
        <f t="shared" si="85"/>
        <v>0</v>
      </c>
      <c r="E147" s="234">
        <f t="shared" si="85"/>
        <v>0</v>
      </c>
      <c r="F147" s="236">
        <f t="shared" si="66"/>
        <v>0</v>
      </c>
      <c r="G147" s="151" t="e">
        <f t="shared" si="67"/>
        <v>#DIV/0!</v>
      </c>
      <c r="H147" s="356"/>
      <c r="I147" s="356"/>
      <c r="J147" s="356"/>
      <c r="K147" s="356">
        <f t="shared" si="68"/>
        <v>0</v>
      </c>
      <c r="L147" s="338" t="e">
        <f t="shared" si="69"/>
        <v>#DIV/0!</v>
      </c>
      <c r="M147" s="234"/>
      <c r="N147" s="234"/>
      <c r="O147" s="234"/>
      <c r="P147" s="236">
        <f t="shared" si="70"/>
        <v>0</v>
      </c>
      <c r="Q147" s="151" t="e">
        <f t="shared" si="71"/>
        <v>#DIV/0!</v>
      </c>
    </row>
    <row r="148" spans="1:17" s="108" customFormat="1" ht="22.5" customHeight="1">
      <c r="A148" s="81" t="s">
        <v>182</v>
      </c>
      <c r="B148" s="81" t="s">
        <v>181</v>
      </c>
      <c r="C148" s="234">
        <f>C150-C149</f>
        <v>-2115</v>
      </c>
      <c r="D148" s="234">
        <f>D150-D149</f>
        <v>-10978.6</v>
      </c>
      <c r="E148" s="234">
        <f>E150-E149</f>
        <v>-12171.136</v>
      </c>
      <c r="F148" s="236">
        <f t="shared" si="66"/>
        <v>-1192.536</v>
      </c>
      <c r="G148" s="151">
        <f t="shared" si="67"/>
        <v>110.86236860801924</v>
      </c>
      <c r="H148" s="357">
        <f>H150-H149</f>
        <v>0</v>
      </c>
      <c r="I148" s="357">
        <f>I150-I149</f>
        <v>0</v>
      </c>
      <c r="J148" s="357">
        <f>J150-J149</f>
        <v>0</v>
      </c>
      <c r="K148" s="356">
        <f t="shared" si="68"/>
        <v>0</v>
      </c>
      <c r="L148" s="338" t="e">
        <f t="shared" si="69"/>
        <v>#DIV/0!</v>
      </c>
      <c r="M148" s="234">
        <f>M150-M149</f>
        <v>-2115</v>
      </c>
      <c r="N148" s="234">
        <f>N150-N149</f>
        <v>-10978.6</v>
      </c>
      <c r="O148" s="234">
        <f>O150-O149</f>
        <v>-12171.136</v>
      </c>
      <c r="P148" s="236">
        <f t="shared" si="70"/>
        <v>-1192.536</v>
      </c>
      <c r="Q148" s="151">
        <f t="shared" si="71"/>
        <v>110.86236860801924</v>
      </c>
    </row>
    <row r="149" spans="1:17" s="108" customFormat="1" ht="22.5" customHeight="1">
      <c r="A149" s="81" t="s">
        <v>193</v>
      </c>
      <c r="B149" s="81"/>
      <c r="C149" s="234">
        <f aca="true" t="shared" si="86" ref="C149:E150">H149+M149</f>
        <v>2115</v>
      </c>
      <c r="D149" s="234">
        <f t="shared" si="86"/>
        <v>11878.6</v>
      </c>
      <c r="E149" s="234">
        <f t="shared" si="86"/>
        <v>13071.136</v>
      </c>
      <c r="F149" s="236">
        <f t="shared" si="66"/>
        <v>1192.536</v>
      </c>
      <c r="G149" s="151">
        <f t="shared" si="67"/>
        <v>110.03936490832254</v>
      </c>
      <c r="H149" s="356"/>
      <c r="I149" s="356"/>
      <c r="J149" s="356"/>
      <c r="K149" s="356">
        <f t="shared" si="68"/>
        <v>0</v>
      </c>
      <c r="L149" s="338" t="e">
        <f t="shared" si="69"/>
        <v>#DIV/0!</v>
      </c>
      <c r="M149" s="234">
        <v>2115</v>
      </c>
      <c r="N149" s="234">
        <v>11878.6</v>
      </c>
      <c r="O149" s="234">
        <v>13071.136</v>
      </c>
      <c r="P149" s="236">
        <f t="shared" si="70"/>
        <v>1192.536</v>
      </c>
      <c r="Q149" s="151">
        <f t="shared" si="71"/>
        <v>110.03936490832254</v>
      </c>
    </row>
    <row r="150" spans="1:17" s="108" customFormat="1" ht="22.5" customHeight="1">
      <c r="A150" s="81" t="s">
        <v>194</v>
      </c>
      <c r="B150" s="81"/>
      <c r="C150" s="357">
        <f t="shared" si="86"/>
        <v>0</v>
      </c>
      <c r="D150" s="234">
        <f t="shared" si="86"/>
        <v>900</v>
      </c>
      <c r="E150" s="234">
        <f t="shared" si="86"/>
        <v>900</v>
      </c>
      <c r="F150" s="356">
        <f t="shared" si="66"/>
        <v>0</v>
      </c>
      <c r="G150" s="151">
        <f t="shared" si="67"/>
        <v>100</v>
      </c>
      <c r="H150" s="356"/>
      <c r="I150" s="356"/>
      <c r="J150" s="356"/>
      <c r="K150" s="356">
        <f t="shared" si="68"/>
        <v>0</v>
      </c>
      <c r="L150" s="338" t="e">
        <f t="shared" si="69"/>
        <v>#DIV/0!</v>
      </c>
      <c r="M150" s="234"/>
      <c r="N150" s="234">
        <v>900</v>
      </c>
      <c r="O150" s="234">
        <v>900</v>
      </c>
      <c r="P150" s="356">
        <f t="shared" si="70"/>
        <v>0</v>
      </c>
      <c r="Q150" s="151">
        <f t="shared" si="71"/>
        <v>100</v>
      </c>
    </row>
    <row r="151" spans="1:17" s="107" customFormat="1" ht="22.5" customHeight="1">
      <c r="A151" s="80" t="s">
        <v>190</v>
      </c>
      <c r="B151" s="80"/>
      <c r="C151" s="233">
        <f>C153-C152</f>
        <v>8207.2</v>
      </c>
      <c r="D151" s="233">
        <f>D153-D152</f>
        <v>37212.04</v>
      </c>
      <c r="E151" s="233">
        <f>E153-E152</f>
        <v>33464.238</v>
      </c>
      <c r="F151" s="210">
        <f t="shared" si="66"/>
        <v>-3747.8020000000033</v>
      </c>
      <c r="G151" s="150">
        <f t="shared" si="67"/>
        <v>89.9285231339104</v>
      </c>
      <c r="H151" s="353">
        <f>H153-H152</f>
        <v>0</v>
      </c>
      <c r="I151" s="353">
        <f>I153-I152</f>
        <v>0</v>
      </c>
      <c r="J151" s="353">
        <f>J153-J152</f>
        <v>0</v>
      </c>
      <c r="K151" s="345">
        <f t="shared" si="68"/>
        <v>0</v>
      </c>
      <c r="L151" s="342" t="e">
        <f t="shared" si="69"/>
        <v>#DIV/0!</v>
      </c>
      <c r="M151" s="233">
        <f>M153-M152</f>
        <v>8207.2</v>
      </c>
      <c r="N151" s="233">
        <f>N153-N152</f>
        <v>37212.04</v>
      </c>
      <c r="O151" s="233">
        <f>O153-O152</f>
        <v>33464.238</v>
      </c>
      <c r="P151" s="210">
        <f t="shared" si="70"/>
        <v>-3747.8020000000033</v>
      </c>
      <c r="Q151" s="150">
        <f t="shared" si="71"/>
        <v>89.9285231339104</v>
      </c>
    </row>
    <row r="152" spans="1:17" s="107" customFormat="1" ht="22.5" customHeight="1" hidden="1">
      <c r="A152" s="80" t="s">
        <v>193</v>
      </c>
      <c r="B152" s="80"/>
      <c r="C152" s="233">
        <f aca="true" t="shared" si="87" ref="C152:E153">H152+M152</f>
        <v>0</v>
      </c>
      <c r="D152" s="233">
        <f t="shared" si="87"/>
        <v>0</v>
      </c>
      <c r="E152" s="233">
        <f t="shared" si="87"/>
        <v>0</v>
      </c>
      <c r="F152" s="210">
        <f t="shared" si="66"/>
        <v>0</v>
      </c>
      <c r="G152" s="150" t="e">
        <f t="shared" si="67"/>
        <v>#DIV/0!</v>
      </c>
      <c r="H152" s="345"/>
      <c r="I152" s="345"/>
      <c r="J152" s="345"/>
      <c r="K152" s="345">
        <f t="shared" si="68"/>
        <v>0</v>
      </c>
      <c r="L152" s="342" t="e">
        <f t="shared" si="69"/>
        <v>#DIV/0!</v>
      </c>
      <c r="M152" s="233"/>
      <c r="N152" s="233"/>
      <c r="O152" s="233"/>
      <c r="P152" s="210">
        <f t="shared" si="70"/>
        <v>0</v>
      </c>
      <c r="Q152" s="150" t="e">
        <f t="shared" si="71"/>
        <v>#DIV/0!</v>
      </c>
    </row>
    <row r="153" spans="1:17" s="107" customFormat="1" ht="22.5" customHeight="1">
      <c r="A153" s="80" t="s">
        <v>194</v>
      </c>
      <c r="B153" s="80"/>
      <c r="C153" s="233">
        <f t="shared" si="87"/>
        <v>8207.2</v>
      </c>
      <c r="D153" s="233">
        <f t="shared" si="87"/>
        <v>37212.04</v>
      </c>
      <c r="E153" s="233">
        <f t="shared" si="87"/>
        <v>33464.238</v>
      </c>
      <c r="F153" s="210">
        <f t="shared" si="66"/>
        <v>-3747.8020000000033</v>
      </c>
      <c r="G153" s="150">
        <f t="shared" si="67"/>
        <v>89.9285231339104</v>
      </c>
      <c r="H153" s="345"/>
      <c r="I153" s="345"/>
      <c r="J153" s="345"/>
      <c r="K153" s="345">
        <f t="shared" si="68"/>
        <v>0</v>
      </c>
      <c r="L153" s="342" t="e">
        <f t="shared" si="69"/>
        <v>#DIV/0!</v>
      </c>
      <c r="M153" s="233">
        <v>8207.2</v>
      </c>
      <c r="N153" s="233">
        <v>37212.04</v>
      </c>
      <c r="O153" s="233">
        <v>33464.238</v>
      </c>
      <c r="P153" s="210">
        <f t="shared" si="70"/>
        <v>-3747.8020000000033</v>
      </c>
      <c r="Q153" s="150">
        <f t="shared" si="71"/>
        <v>89.9285231339104</v>
      </c>
    </row>
    <row r="154" spans="1:17" s="108" customFormat="1" ht="22.5" customHeight="1">
      <c r="A154" s="81"/>
      <c r="B154" s="109"/>
      <c r="C154" s="234"/>
      <c r="D154" s="234"/>
      <c r="E154" s="236"/>
      <c r="F154" s="210"/>
      <c r="G154" s="150"/>
      <c r="H154" s="236"/>
      <c r="I154" s="236"/>
      <c r="J154" s="236"/>
      <c r="K154" s="210"/>
      <c r="L154" s="150"/>
      <c r="M154" s="234"/>
      <c r="N154" s="234"/>
      <c r="O154" s="234"/>
      <c r="P154" s="210"/>
      <c r="Q154" s="150"/>
    </row>
    <row r="155" spans="1:17" s="108" customFormat="1" ht="22.5" customHeight="1">
      <c r="A155" s="75" t="s">
        <v>4</v>
      </c>
      <c r="B155" s="109"/>
      <c r="C155" s="233">
        <f>C157-C156</f>
        <v>1281466.7</v>
      </c>
      <c r="D155" s="233">
        <f>D157-D156</f>
        <v>1460253.702</v>
      </c>
      <c r="E155" s="233">
        <f>E157-E156</f>
        <v>1178533.67</v>
      </c>
      <c r="F155" s="210">
        <f aca="true" t="shared" si="88" ref="F155:F190">E155-D155</f>
        <v>-281720.0320000001</v>
      </c>
      <c r="G155" s="150">
        <f aca="true" t="shared" si="89" ref="G155:G190">E155/D155*100</f>
        <v>80.70745983289416</v>
      </c>
      <c r="H155" s="233">
        <f>H157-H156</f>
        <v>1254232.2</v>
      </c>
      <c r="I155" s="233">
        <f>I157-I156</f>
        <v>1428188.0999999999</v>
      </c>
      <c r="J155" s="233">
        <f>J157-J156</f>
        <v>1169903.6670000001</v>
      </c>
      <c r="K155" s="210">
        <f aca="true" t="shared" si="90" ref="K155:K190">J155-I155</f>
        <v>-258284.43299999973</v>
      </c>
      <c r="L155" s="150">
        <f aca="true" t="shared" si="91" ref="L155:L190">J155/I155*100</f>
        <v>81.91523700554572</v>
      </c>
      <c r="M155" s="233">
        <f>M157-M156</f>
        <v>27234.5</v>
      </c>
      <c r="N155" s="233">
        <f>N157-N156</f>
        <v>32065.602</v>
      </c>
      <c r="O155" s="233">
        <f>O157-O156</f>
        <v>8630.003</v>
      </c>
      <c r="P155" s="210">
        <f aca="true" t="shared" si="92" ref="P155:P190">O155-N155</f>
        <v>-23435.599</v>
      </c>
      <c r="Q155" s="150">
        <f aca="true" t="shared" si="93" ref="Q155:Q190">O155/N155*100</f>
        <v>26.91358484397081</v>
      </c>
    </row>
    <row r="156" spans="1:17" s="107" customFormat="1" ht="22.5" customHeight="1">
      <c r="A156" s="80" t="s">
        <v>193</v>
      </c>
      <c r="B156" s="79"/>
      <c r="C156" s="353">
        <f aca="true" t="shared" si="94" ref="C156:E157">C159+C189</f>
        <v>0</v>
      </c>
      <c r="D156" s="353">
        <f t="shared" si="94"/>
        <v>0</v>
      </c>
      <c r="E156" s="233">
        <f t="shared" si="94"/>
        <v>10</v>
      </c>
      <c r="F156" s="210">
        <f t="shared" si="88"/>
        <v>10</v>
      </c>
      <c r="G156" s="342" t="e">
        <f t="shared" si="89"/>
        <v>#DIV/0!</v>
      </c>
      <c r="H156" s="353">
        <f aca="true" t="shared" si="95" ref="H156:J157">H159+H189</f>
        <v>0</v>
      </c>
      <c r="I156" s="353">
        <f t="shared" si="95"/>
        <v>0</v>
      </c>
      <c r="J156" s="233">
        <f t="shared" si="95"/>
        <v>10</v>
      </c>
      <c r="K156" s="210">
        <f t="shared" si="90"/>
        <v>10</v>
      </c>
      <c r="L156" s="342" t="e">
        <f t="shared" si="91"/>
        <v>#DIV/0!</v>
      </c>
      <c r="M156" s="353">
        <f aca="true" t="shared" si="96" ref="M156:O157">M159+M189</f>
        <v>0</v>
      </c>
      <c r="N156" s="353">
        <f t="shared" si="96"/>
        <v>0</v>
      </c>
      <c r="O156" s="353">
        <f t="shared" si="96"/>
        <v>0</v>
      </c>
      <c r="P156" s="345">
        <f t="shared" si="92"/>
        <v>0</v>
      </c>
      <c r="Q156" s="342" t="e">
        <f t="shared" si="93"/>
        <v>#DIV/0!</v>
      </c>
    </row>
    <row r="157" spans="1:17" s="107" customFormat="1" ht="22.5" customHeight="1">
      <c r="A157" s="80" t="s">
        <v>194</v>
      </c>
      <c r="B157" s="80"/>
      <c r="C157" s="233">
        <f t="shared" si="94"/>
        <v>1281466.7</v>
      </c>
      <c r="D157" s="233">
        <f t="shared" si="94"/>
        <v>1460253.702</v>
      </c>
      <c r="E157" s="233">
        <f t="shared" si="94"/>
        <v>1178543.67</v>
      </c>
      <c r="F157" s="210">
        <f t="shared" si="88"/>
        <v>-281710.0320000001</v>
      </c>
      <c r="G157" s="150">
        <f t="shared" si="89"/>
        <v>80.70814464540217</v>
      </c>
      <c r="H157" s="233">
        <f t="shared" si="95"/>
        <v>1254232.2</v>
      </c>
      <c r="I157" s="233">
        <f t="shared" si="95"/>
        <v>1428188.0999999999</v>
      </c>
      <c r="J157" s="233">
        <f t="shared" si="95"/>
        <v>1169913.6670000001</v>
      </c>
      <c r="K157" s="210">
        <f t="shared" si="90"/>
        <v>-258274.43299999973</v>
      </c>
      <c r="L157" s="150">
        <f t="shared" si="91"/>
        <v>81.91593719342713</v>
      </c>
      <c r="M157" s="233">
        <f t="shared" si="96"/>
        <v>27234.5</v>
      </c>
      <c r="N157" s="233">
        <f t="shared" si="96"/>
        <v>32065.602</v>
      </c>
      <c r="O157" s="233">
        <f t="shared" si="96"/>
        <v>8630.003</v>
      </c>
      <c r="P157" s="210">
        <f t="shared" si="92"/>
        <v>-23435.599</v>
      </c>
      <c r="Q157" s="150">
        <f t="shared" si="93"/>
        <v>26.91358484397081</v>
      </c>
    </row>
    <row r="158" spans="1:17" s="107" customFormat="1" ht="22.5" customHeight="1">
      <c r="A158" s="80" t="s">
        <v>189</v>
      </c>
      <c r="B158" s="80"/>
      <c r="C158" s="233">
        <f>C160-C159</f>
        <v>1250051.7</v>
      </c>
      <c r="D158" s="233">
        <f>D160-D159</f>
        <v>1346305.7</v>
      </c>
      <c r="E158" s="233">
        <f>E160-E159</f>
        <v>1117771.221</v>
      </c>
      <c r="F158" s="210">
        <f t="shared" si="88"/>
        <v>-228534.47900000005</v>
      </c>
      <c r="G158" s="150">
        <f t="shared" si="89"/>
        <v>83.02506785791667</v>
      </c>
      <c r="H158" s="233">
        <f>H160-H159</f>
        <v>1222817.2</v>
      </c>
      <c r="I158" s="233">
        <f>I160-I159</f>
        <v>1316709.7</v>
      </c>
      <c r="J158" s="233">
        <f>J160-J159</f>
        <v>1111600.4640000002</v>
      </c>
      <c r="K158" s="210">
        <f t="shared" si="90"/>
        <v>-205109.2359999998</v>
      </c>
      <c r="L158" s="150">
        <f t="shared" si="91"/>
        <v>84.42259246666141</v>
      </c>
      <c r="M158" s="233">
        <f>M160-M159</f>
        <v>27234.5</v>
      </c>
      <c r="N158" s="233">
        <f>N160-N159</f>
        <v>29596</v>
      </c>
      <c r="O158" s="233">
        <f>O160-O159</f>
        <v>6170.757</v>
      </c>
      <c r="P158" s="210">
        <f t="shared" si="92"/>
        <v>-23425.243000000002</v>
      </c>
      <c r="Q158" s="150">
        <f t="shared" si="93"/>
        <v>20.8499695904852</v>
      </c>
    </row>
    <row r="159" spans="1:17" s="107" customFormat="1" ht="22.5" customHeight="1">
      <c r="A159" s="80" t="s">
        <v>193</v>
      </c>
      <c r="B159" s="80"/>
      <c r="C159" s="353">
        <f aca="true" t="shared" si="97" ref="C159:E160">C162+C165+C168+C171+C174+C177+C180+C183+C186</f>
        <v>0</v>
      </c>
      <c r="D159" s="353">
        <f t="shared" si="97"/>
        <v>0</v>
      </c>
      <c r="E159" s="233">
        <f t="shared" si="97"/>
        <v>10</v>
      </c>
      <c r="F159" s="210">
        <f t="shared" si="88"/>
        <v>10</v>
      </c>
      <c r="G159" s="342" t="e">
        <f t="shared" si="89"/>
        <v>#DIV/0!</v>
      </c>
      <c r="H159" s="353">
        <f aca="true" t="shared" si="98" ref="H159:J160">H162+H165+H168+H171+H174+H177+H180+H183+H186</f>
        <v>0</v>
      </c>
      <c r="I159" s="353">
        <f t="shared" si="98"/>
        <v>0</v>
      </c>
      <c r="J159" s="233">
        <f t="shared" si="98"/>
        <v>10</v>
      </c>
      <c r="K159" s="210">
        <f t="shared" si="90"/>
        <v>10</v>
      </c>
      <c r="L159" s="342" t="e">
        <f t="shared" si="91"/>
        <v>#DIV/0!</v>
      </c>
      <c r="M159" s="353">
        <f aca="true" t="shared" si="99" ref="M159:O160">M162+M165+M168+M171+M174+M177+M180+M183+M186</f>
        <v>0</v>
      </c>
      <c r="N159" s="353">
        <f t="shared" si="99"/>
        <v>0</v>
      </c>
      <c r="O159" s="353">
        <f t="shared" si="99"/>
        <v>0</v>
      </c>
      <c r="P159" s="345">
        <f t="shared" si="92"/>
        <v>0</v>
      </c>
      <c r="Q159" s="342" t="e">
        <f t="shared" si="93"/>
        <v>#DIV/0!</v>
      </c>
    </row>
    <row r="160" spans="1:17" s="107" customFormat="1" ht="22.5" customHeight="1">
      <c r="A160" s="80" t="s">
        <v>194</v>
      </c>
      <c r="B160" s="80"/>
      <c r="C160" s="233">
        <f t="shared" si="97"/>
        <v>1250051.7</v>
      </c>
      <c r="D160" s="233">
        <f t="shared" si="97"/>
        <v>1346305.7</v>
      </c>
      <c r="E160" s="233">
        <f t="shared" si="97"/>
        <v>1117781.221</v>
      </c>
      <c r="F160" s="210">
        <f t="shared" si="88"/>
        <v>-228524.47900000005</v>
      </c>
      <c r="G160" s="150">
        <f t="shared" si="89"/>
        <v>83.02581063127045</v>
      </c>
      <c r="H160" s="233">
        <f t="shared" si="98"/>
        <v>1222817.2</v>
      </c>
      <c r="I160" s="233">
        <f t="shared" si="98"/>
        <v>1316709.7</v>
      </c>
      <c r="J160" s="233">
        <f t="shared" si="98"/>
        <v>1111610.4640000002</v>
      </c>
      <c r="K160" s="210">
        <f t="shared" si="90"/>
        <v>-205099.2359999998</v>
      </c>
      <c r="L160" s="150">
        <f t="shared" si="91"/>
        <v>84.42335193551017</v>
      </c>
      <c r="M160" s="233">
        <f t="shared" si="99"/>
        <v>27234.5</v>
      </c>
      <c r="N160" s="233">
        <f t="shared" si="99"/>
        <v>29596</v>
      </c>
      <c r="O160" s="233">
        <f t="shared" si="99"/>
        <v>6170.757</v>
      </c>
      <c r="P160" s="210">
        <f t="shared" si="92"/>
        <v>-23425.243000000002</v>
      </c>
      <c r="Q160" s="150">
        <f t="shared" si="93"/>
        <v>20.8499695904852</v>
      </c>
    </row>
    <row r="161" spans="1:17" s="108" customFormat="1" ht="22.5" customHeight="1">
      <c r="A161" s="81" t="s">
        <v>174</v>
      </c>
      <c r="B161" s="81" t="s">
        <v>173</v>
      </c>
      <c r="C161" s="234">
        <f>C163-C162</f>
        <v>1057288.4</v>
      </c>
      <c r="D161" s="234">
        <f>D163-D162</f>
        <v>1066694.4</v>
      </c>
      <c r="E161" s="234">
        <f>E163-E162</f>
        <v>989995.0539999999</v>
      </c>
      <c r="F161" s="236">
        <f t="shared" si="88"/>
        <v>-76699.34600000002</v>
      </c>
      <c r="G161" s="151">
        <f t="shared" si="89"/>
        <v>92.80962326229518</v>
      </c>
      <c r="H161" s="234">
        <f>H163-H162</f>
        <v>1051704.7</v>
      </c>
      <c r="I161" s="234">
        <f>I163-I162</f>
        <v>1038665.2999999999</v>
      </c>
      <c r="J161" s="234">
        <f>J163-J162</f>
        <v>985391.1969999999</v>
      </c>
      <c r="K161" s="236">
        <f t="shared" si="90"/>
        <v>-53274.103</v>
      </c>
      <c r="L161" s="151">
        <f t="shared" si="91"/>
        <v>94.87090759650872</v>
      </c>
      <c r="M161" s="234">
        <f>M163-M162</f>
        <v>5583.7</v>
      </c>
      <c r="N161" s="234">
        <f>N163-N162</f>
        <v>28029.1</v>
      </c>
      <c r="O161" s="234">
        <f>O163-O162</f>
        <v>4603.857</v>
      </c>
      <c r="P161" s="236">
        <f t="shared" si="92"/>
        <v>-23425.243</v>
      </c>
      <c r="Q161" s="151">
        <f t="shared" si="93"/>
        <v>16.425275874002377</v>
      </c>
    </row>
    <row r="162" spans="1:17" s="108" customFormat="1" ht="22.5" customHeight="1" hidden="1">
      <c r="A162" s="81" t="s">
        <v>193</v>
      </c>
      <c r="B162" s="81"/>
      <c r="C162" s="234">
        <f aca="true" t="shared" si="100" ref="C162:E163">H162+M162</f>
        <v>0</v>
      </c>
      <c r="D162" s="234">
        <f t="shared" si="100"/>
        <v>0</v>
      </c>
      <c r="E162" s="234">
        <f t="shared" si="100"/>
        <v>0</v>
      </c>
      <c r="F162" s="236">
        <f t="shared" si="88"/>
        <v>0</v>
      </c>
      <c r="G162" s="151" t="e">
        <f t="shared" si="89"/>
        <v>#DIV/0!</v>
      </c>
      <c r="H162" s="236"/>
      <c r="I162" s="236"/>
      <c r="J162" s="236"/>
      <c r="K162" s="236">
        <f t="shared" si="90"/>
        <v>0</v>
      </c>
      <c r="L162" s="151" t="e">
        <f t="shared" si="91"/>
        <v>#DIV/0!</v>
      </c>
      <c r="M162" s="234"/>
      <c r="N162" s="234"/>
      <c r="O162" s="234"/>
      <c r="P162" s="236">
        <f t="shared" si="92"/>
        <v>0</v>
      </c>
      <c r="Q162" s="151" t="e">
        <f t="shared" si="93"/>
        <v>#DIV/0!</v>
      </c>
    </row>
    <row r="163" spans="1:17" s="108" customFormat="1" ht="22.5" customHeight="1">
      <c r="A163" s="81" t="s">
        <v>194</v>
      </c>
      <c r="B163" s="81"/>
      <c r="C163" s="234">
        <f t="shared" si="100"/>
        <v>1057288.4</v>
      </c>
      <c r="D163" s="234">
        <f t="shared" si="100"/>
        <v>1066694.4</v>
      </c>
      <c r="E163" s="234">
        <f t="shared" si="100"/>
        <v>989995.0539999999</v>
      </c>
      <c r="F163" s="236">
        <f t="shared" si="88"/>
        <v>-76699.34600000002</v>
      </c>
      <c r="G163" s="151">
        <f t="shared" si="89"/>
        <v>92.80962326229518</v>
      </c>
      <c r="H163" s="236">
        <f>89977.5+961727.2</f>
        <v>1051704.7</v>
      </c>
      <c r="I163" s="236">
        <f>635263.7+403401.6</f>
        <v>1038665.2999999999</v>
      </c>
      <c r="J163" s="236">
        <f>601514.397+383876.8</f>
        <v>985391.1969999999</v>
      </c>
      <c r="K163" s="236">
        <f t="shared" si="90"/>
        <v>-53274.103</v>
      </c>
      <c r="L163" s="151">
        <f t="shared" si="91"/>
        <v>94.87090759650872</v>
      </c>
      <c r="M163" s="234">
        <v>5583.7</v>
      </c>
      <c r="N163" s="234">
        <v>28029.1</v>
      </c>
      <c r="O163" s="234">
        <v>4603.857</v>
      </c>
      <c r="P163" s="236">
        <f t="shared" si="92"/>
        <v>-23425.243</v>
      </c>
      <c r="Q163" s="151">
        <f t="shared" si="93"/>
        <v>16.425275874002377</v>
      </c>
    </row>
    <row r="164" spans="1:17" s="108" customFormat="1" ht="22.5" customHeight="1">
      <c r="A164" s="81" t="s">
        <v>176</v>
      </c>
      <c r="B164" s="81" t="s">
        <v>175</v>
      </c>
      <c r="C164" s="234">
        <f>C166-C165</f>
        <v>192763.3</v>
      </c>
      <c r="D164" s="234">
        <f>D166-D165</f>
        <v>278460.30000000005</v>
      </c>
      <c r="E164" s="234">
        <f>E166-E165</f>
        <v>126692.67199999999</v>
      </c>
      <c r="F164" s="236">
        <f t="shared" si="88"/>
        <v>-151767.62800000006</v>
      </c>
      <c r="G164" s="151">
        <f t="shared" si="89"/>
        <v>45.49757074886437</v>
      </c>
      <c r="H164" s="234">
        <f>H166-H165</f>
        <v>171112.5</v>
      </c>
      <c r="I164" s="234">
        <f>I166-I165</f>
        <v>276893.4</v>
      </c>
      <c r="J164" s="234">
        <f>J166-J165</f>
        <v>125125.772</v>
      </c>
      <c r="K164" s="236">
        <f t="shared" si="90"/>
        <v>-151767.62800000003</v>
      </c>
      <c r="L164" s="151">
        <f t="shared" si="91"/>
        <v>45.18914932605833</v>
      </c>
      <c r="M164" s="234">
        <f>M166-M165</f>
        <v>21650.8</v>
      </c>
      <c r="N164" s="234">
        <f>N166-N165</f>
        <v>1566.9</v>
      </c>
      <c r="O164" s="234">
        <f>O166-O165</f>
        <v>1566.9</v>
      </c>
      <c r="P164" s="356">
        <f t="shared" si="92"/>
        <v>0</v>
      </c>
      <c r="Q164" s="151">
        <f t="shared" si="93"/>
        <v>100</v>
      </c>
    </row>
    <row r="165" spans="1:17" s="108" customFormat="1" ht="22.5" customHeight="1">
      <c r="A165" s="81" t="s">
        <v>193</v>
      </c>
      <c r="B165" s="81"/>
      <c r="C165" s="357">
        <f aca="true" t="shared" si="101" ref="C165:E166">H165+M165</f>
        <v>0</v>
      </c>
      <c r="D165" s="357">
        <f t="shared" si="101"/>
        <v>0</v>
      </c>
      <c r="E165" s="234">
        <f t="shared" si="101"/>
        <v>10</v>
      </c>
      <c r="F165" s="236">
        <f t="shared" si="88"/>
        <v>10</v>
      </c>
      <c r="G165" s="338" t="e">
        <f t="shared" si="89"/>
        <v>#DIV/0!</v>
      </c>
      <c r="H165" s="236"/>
      <c r="I165" s="236"/>
      <c r="J165" s="236">
        <v>10</v>
      </c>
      <c r="K165" s="236">
        <f t="shared" si="90"/>
        <v>10</v>
      </c>
      <c r="L165" s="338" t="e">
        <f t="shared" si="91"/>
        <v>#DIV/0!</v>
      </c>
      <c r="M165" s="234"/>
      <c r="N165" s="234"/>
      <c r="O165" s="234"/>
      <c r="P165" s="356">
        <f t="shared" si="92"/>
        <v>0</v>
      </c>
      <c r="Q165" s="338" t="e">
        <f t="shared" si="93"/>
        <v>#DIV/0!</v>
      </c>
    </row>
    <row r="166" spans="1:17" s="108" customFormat="1" ht="22.5" customHeight="1">
      <c r="A166" s="81" t="s">
        <v>194</v>
      </c>
      <c r="B166" s="81"/>
      <c r="C166" s="234">
        <f t="shared" si="101"/>
        <v>192763.3</v>
      </c>
      <c r="D166" s="234">
        <f t="shared" si="101"/>
        <v>278460.30000000005</v>
      </c>
      <c r="E166" s="234">
        <f t="shared" si="101"/>
        <v>126702.67199999999</v>
      </c>
      <c r="F166" s="236">
        <f t="shared" si="88"/>
        <v>-151757.62800000006</v>
      </c>
      <c r="G166" s="151">
        <f t="shared" si="89"/>
        <v>45.50116192505717</v>
      </c>
      <c r="H166" s="236">
        <v>171112.5</v>
      </c>
      <c r="I166" s="236">
        <v>276893.4</v>
      </c>
      <c r="J166" s="236">
        <v>125135.772</v>
      </c>
      <c r="K166" s="236">
        <f t="shared" si="90"/>
        <v>-151757.62800000003</v>
      </c>
      <c r="L166" s="151">
        <f t="shared" si="91"/>
        <v>45.192760824201656</v>
      </c>
      <c r="M166" s="234">
        <v>21650.8</v>
      </c>
      <c r="N166" s="234">
        <v>1566.9</v>
      </c>
      <c r="O166" s="234">
        <v>1566.9</v>
      </c>
      <c r="P166" s="356">
        <f t="shared" si="92"/>
        <v>0</v>
      </c>
      <c r="Q166" s="151">
        <f t="shared" si="93"/>
        <v>100</v>
      </c>
    </row>
    <row r="167" spans="1:17" s="108" customFormat="1" ht="22.5" customHeight="1">
      <c r="A167" s="81" t="s">
        <v>178</v>
      </c>
      <c r="B167" s="81" t="s">
        <v>177</v>
      </c>
      <c r="C167" s="357">
        <f>C169-C168</f>
        <v>0</v>
      </c>
      <c r="D167" s="234">
        <f>D169-D168</f>
        <v>1151</v>
      </c>
      <c r="E167" s="234">
        <f>E169-E168</f>
        <v>1083.495</v>
      </c>
      <c r="F167" s="236">
        <f t="shared" si="88"/>
        <v>-67.50500000000011</v>
      </c>
      <c r="G167" s="151">
        <f t="shared" si="89"/>
        <v>94.135099913119</v>
      </c>
      <c r="H167" s="357">
        <f>H169-H168</f>
        <v>0</v>
      </c>
      <c r="I167" s="234">
        <f>I169-I168</f>
        <v>1151</v>
      </c>
      <c r="J167" s="234">
        <f>J169-J168</f>
        <v>1083.495</v>
      </c>
      <c r="K167" s="236">
        <f t="shared" si="90"/>
        <v>-67.50500000000011</v>
      </c>
      <c r="L167" s="151">
        <f t="shared" si="91"/>
        <v>94.135099913119</v>
      </c>
      <c r="M167" s="357">
        <f>M169-M168</f>
        <v>0</v>
      </c>
      <c r="N167" s="357">
        <f>N169-N168</f>
        <v>0</v>
      </c>
      <c r="O167" s="357">
        <f>O169-O168</f>
        <v>0</v>
      </c>
      <c r="P167" s="356">
        <f t="shared" si="92"/>
        <v>0</v>
      </c>
      <c r="Q167" s="338" t="e">
        <f t="shared" si="93"/>
        <v>#DIV/0!</v>
      </c>
    </row>
    <row r="168" spans="1:17" s="108" customFormat="1" ht="22.5" customHeight="1" hidden="1">
      <c r="A168" s="81" t="s">
        <v>193</v>
      </c>
      <c r="B168" s="81"/>
      <c r="C168" s="357">
        <f aca="true" t="shared" si="102" ref="C168:E169">H168+M168</f>
        <v>0</v>
      </c>
      <c r="D168" s="234">
        <f t="shared" si="102"/>
        <v>0</v>
      </c>
      <c r="E168" s="234">
        <f t="shared" si="102"/>
        <v>0</v>
      </c>
      <c r="F168" s="236">
        <f t="shared" si="88"/>
        <v>0</v>
      </c>
      <c r="G168" s="151" t="e">
        <f t="shared" si="89"/>
        <v>#DIV/0!</v>
      </c>
      <c r="H168" s="236"/>
      <c r="I168" s="236"/>
      <c r="J168" s="236"/>
      <c r="K168" s="236">
        <f t="shared" si="90"/>
        <v>0</v>
      </c>
      <c r="L168" s="151" t="e">
        <f t="shared" si="91"/>
        <v>#DIV/0!</v>
      </c>
      <c r="M168" s="357"/>
      <c r="N168" s="357"/>
      <c r="O168" s="357"/>
      <c r="P168" s="356">
        <f t="shared" si="92"/>
        <v>0</v>
      </c>
      <c r="Q168" s="338" t="e">
        <f t="shared" si="93"/>
        <v>#DIV/0!</v>
      </c>
    </row>
    <row r="169" spans="1:17" s="108" customFormat="1" ht="22.5" customHeight="1">
      <c r="A169" s="81" t="s">
        <v>194</v>
      </c>
      <c r="B169" s="81"/>
      <c r="C169" s="357">
        <f t="shared" si="102"/>
        <v>0</v>
      </c>
      <c r="D169" s="234">
        <f t="shared" si="102"/>
        <v>1151</v>
      </c>
      <c r="E169" s="234">
        <f t="shared" si="102"/>
        <v>1083.495</v>
      </c>
      <c r="F169" s="236">
        <f t="shared" si="88"/>
        <v>-67.50500000000011</v>
      </c>
      <c r="G169" s="151">
        <f t="shared" si="89"/>
        <v>94.135099913119</v>
      </c>
      <c r="H169" s="236"/>
      <c r="I169" s="236">
        <v>1151</v>
      </c>
      <c r="J169" s="236">
        <v>1083.495</v>
      </c>
      <c r="K169" s="236">
        <f t="shared" si="90"/>
        <v>-67.50500000000011</v>
      </c>
      <c r="L169" s="151">
        <f t="shared" si="91"/>
        <v>94.135099913119</v>
      </c>
      <c r="M169" s="357"/>
      <c r="N169" s="357"/>
      <c r="O169" s="357"/>
      <c r="P169" s="356">
        <f t="shared" si="92"/>
        <v>0</v>
      </c>
      <c r="Q169" s="338" t="e">
        <f t="shared" si="93"/>
        <v>#DIV/0!</v>
      </c>
    </row>
    <row r="170" spans="1:17" s="108" customFormat="1" ht="22.5" customHeight="1" hidden="1">
      <c r="A170" s="81" t="s">
        <v>184</v>
      </c>
      <c r="B170" s="81" t="s">
        <v>183</v>
      </c>
      <c r="C170" s="234">
        <f>C172-C171</f>
        <v>0</v>
      </c>
      <c r="D170" s="234">
        <f>D172-D171</f>
        <v>0</v>
      </c>
      <c r="E170" s="234">
        <f>E172-E171</f>
        <v>0</v>
      </c>
      <c r="F170" s="236">
        <f t="shared" si="88"/>
        <v>0</v>
      </c>
      <c r="G170" s="151" t="e">
        <f t="shared" si="89"/>
        <v>#DIV/0!</v>
      </c>
      <c r="H170" s="234">
        <f>H172-H171</f>
        <v>0</v>
      </c>
      <c r="I170" s="234">
        <f>I172-I171</f>
        <v>0</v>
      </c>
      <c r="J170" s="234">
        <f>J172-J171</f>
        <v>0</v>
      </c>
      <c r="K170" s="236">
        <f t="shared" si="90"/>
        <v>0</v>
      </c>
      <c r="L170" s="151" t="e">
        <f t="shared" si="91"/>
        <v>#DIV/0!</v>
      </c>
      <c r="M170" s="234">
        <f>M172-M171</f>
        <v>0</v>
      </c>
      <c r="N170" s="234">
        <f>N172-N171</f>
        <v>0</v>
      </c>
      <c r="O170" s="234">
        <f>O172-O171</f>
        <v>0</v>
      </c>
      <c r="P170" s="236">
        <f t="shared" si="92"/>
        <v>0</v>
      </c>
      <c r="Q170" s="151" t="e">
        <f t="shared" si="93"/>
        <v>#DIV/0!</v>
      </c>
    </row>
    <row r="171" spans="1:17" s="108" customFormat="1" ht="22.5" customHeight="1" hidden="1">
      <c r="A171" s="81" t="s">
        <v>193</v>
      </c>
      <c r="B171" s="81"/>
      <c r="C171" s="234">
        <f aca="true" t="shared" si="103" ref="C171:E172">H171+M171</f>
        <v>0</v>
      </c>
      <c r="D171" s="234">
        <f t="shared" si="103"/>
        <v>0</v>
      </c>
      <c r="E171" s="234">
        <f t="shared" si="103"/>
        <v>0</v>
      </c>
      <c r="F171" s="236">
        <f t="shared" si="88"/>
        <v>0</v>
      </c>
      <c r="G171" s="151" t="e">
        <f t="shared" si="89"/>
        <v>#DIV/0!</v>
      </c>
      <c r="H171" s="236"/>
      <c r="I171" s="236"/>
      <c r="J171" s="236"/>
      <c r="K171" s="236">
        <f t="shared" si="90"/>
        <v>0</v>
      </c>
      <c r="L171" s="151" t="e">
        <f t="shared" si="91"/>
        <v>#DIV/0!</v>
      </c>
      <c r="M171" s="234"/>
      <c r="N171" s="234"/>
      <c r="O171" s="234"/>
      <c r="P171" s="236">
        <f t="shared" si="92"/>
        <v>0</v>
      </c>
      <c r="Q171" s="151" t="e">
        <f t="shared" si="93"/>
        <v>#DIV/0!</v>
      </c>
    </row>
    <row r="172" spans="1:17" s="108" customFormat="1" ht="22.5" customHeight="1" hidden="1">
      <c r="A172" s="81" t="s">
        <v>194</v>
      </c>
      <c r="B172" s="81"/>
      <c r="C172" s="234">
        <f t="shared" si="103"/>
        <v>0</v>
      </c>
      <c r="D172" s="234">
        <f t="shared" si="103"/>
        <v>0</v>
      </c>
      <c r="E172" s="234">
        <f t="shared" si="103"/>
        <v>0</v>
      </c>
      <c r="F172" s="236">
        <f t="shared" si="88"/>
        <v>0</v>
      </c>
      <c r="G172" s="151" t="e">
        <f t="shared" si="89"/>
        <v>#DIV/0!</v>
      </c>
      <c r="H172" s="236"/>
      <c r="I172" s="236"/>
      <c r="J172" s="236"/>
      <c r="K172" s="236">
        <f t="shared" si="90"/>
        <v>0</v>
      </c>
      <c r="L172" s="151" t="e">
        <f t="shared" si="91"/>
        <v>#DIV/0!</v>
      </c>
      <c r="M172" s="234"/>
      <c r="N172" s="234"/>
      <c r="O172" s="234"/>
      <c r="P172" s="236">
        <f t="shared" si="92"/>
        <v>0</v>
      </c>
      <c r="Q172" s="151" t="e">
        <f t="shared" si="93"/>
        <v>#DIV/0!</v>
      </c>
    </row>
    <row r="173" spans="1:17" s="108" customFormat="1" ht="22.5" customHeight="1" hidden="1">
      <c r="A173" s="81" t="s">
        <v>180</v>
      </c>
      <c r="B173" s="81" t="s">
        <v>179</v>
      </c>
      <c r="C173" s="234">
        <f>C175-C174</f>
        <v>0</v>
      </c>
      <c r="D173" s="234">
        <f>D175-D174</f>
        <v>0</v>
      </c>
      <c r="E173" s="234">
        <f>E175-E174</f>
        <v>0</v>
      </c>
      <c r="F173" s="236">
        <f t="shared" si="88"/>
        <v>0</v>
      </c>
      <c r="G173" s="151" t="e">
        <f t="shared" si="89"/>
        <v>#DIV/0!</v>
      </c>
      <c r="H173" s="234">
        <f>H175-H174</f>
        <v>0</v>
      </c>
      <c r="I173" s="234">
        <f>I175-I174</f>
        <v>0</v>
      </c>
      <c r="J173" s="234">
        <f>J175-J174</f>
        <v>0</v>
      </c>
      <c r="K173" s="236">
        <f t="shared" si="90"/>
        <v>0</v>
      </c>
      <c r="L173" s="151" t="e">
        <f t="shared" si="91"/>
        <v>#DIV/0!</v>
      </c>
      <c r="M173" s="234">
        <f>M175-M174</f>
        <v>0</v>
      </c>
      <c r="N173" s="234">
        <f>N175-N174</f>
        <v>0</v>
      </c>
      <c r="O173" s="234">
        <f>O175-O174</f>
        <v>0</v>
      </c>
      <c r="P173" s="236">
        <f t="shared" si="92"/>
        <v>0</v>
      </c>
      <c r="Q173" s="151" t="e">
        <f t="shared" si="93"/>
        <v>#DIV/0!</v>
      </c>
    </row>
    <row r="174" spans="1:17" s="108" customFormat="1" ht="22.5" customHeight="1" hidden="1">
      <c r="A174" s="81" t="s">
        <v>193</v>
      </c>
      <c r="B174" s="81"/>
      <c r="C174" s="234">
        <f aca="true" t="shared" si="104" ref="C174:E175">H174+M174</f>
        <v>0</v>
      </c>
      <c r="D174" s="234">
        <f t="shared" si="104"/>
        <v>0</v>
      </c>
      <c r="E174" s="234">
        <f t="shared" si="104"/>
        <v>0</v>
      </c>
      <c r="F174" s="236">
        <f t="shared" si="88"/>
        <v>0</v>
      </c>
      <c r="G174" s="151" t="e">
        <f t="shared" si="89"/>
        <v>#DIV/0!</v>
      </c>
      <c r="H174" s="236"/>
      <c r="I174" s="236"/>
      <c r="J174" s="236"/>
      <c r="K174" s="236">
        <f t="shared" si="90"/>
        <v>0</v>
      </c>
      <c r="L174" s="151" t="e">
        <f t="shared" si="91"/>
        <v>#DIV/0!</v>
      </c>
      <c r="M174" s="234"/>
      <c r="N174" s="234"/>
      <c r="O174" s="234"/>
      <c r="P174" s="236">
        <f t="shared" si="92"/>
        <v>0</v>
      </c>
      <c r="Q174" s="151" t="e">
        <f t="shared" si="93"/>
        <v>#DIV/0!</v>
      </c>
    </row>
    <row r="175" spans="1:17" s="108" customFormat="1" ht="22.5" customHeight="1" hidden="1">
      <c r="A175" s="81" t="s">
        <v>194</v>
      </c>
      <c r="B175" s="81"/>
      <c r="C175" s="234">
        <f t="shared" si="104"/>
        <v>0</v>
      </c>
      <c r="D175" s="234">
        <f t="shared" si="104"/>
        <v>0</v>
      </c>
      <c r="E175" s="234">
        <f t="shared" si="104"/>
        <v>0</v>
      </c>
      <c r="F175" s="236">
        <f t="shared" si="88"/>
        <v>0</v>
      </c>
      <c r="G175" s="151" t="e">
        <f t="shared" si="89"/>
        <v>#DIV/0!</v>
      </c>
      <c r="H175" s="236"/>
      <c r="I175" s="236"/>
      <c r="J175" s="236"/>
      <c r="K175" s="236">
        <f t="shared" si="90"/>
        <v>0</v>
      </c>
      <c r="L175" s="151" t="e">
        <f t="shared" si="91"/>
        <v>#DIV/0!</v>
      </c>
      <c r="M175" s="234"/>
      <c r="N175" s="234"/>
      <c r="O175" s="234"/>
      <c r="P175" s="236">
        <f t="shared" si="92"/>
        <v>0</v>
      </c>
      <c r="Q175" s="151" t="e">
        <f t="shared" si="93"/>
        <v>#DIV/0!</v>
      </c>
    </row>
    <row r="176" spans="1:17" s="108" customFormat="1" ht="22.5" customHeight="1" hidden="1">
      <c r="A176" s="81" t="s">
        <v>302</v>
      </c>
      <c r="B176" s="81" t="s">
        <v>301</v>
      </c>
      <c r="C176" s="234">
        <f>C178-C177</f>
        <v>0</v>
      </c>
      <c r="D176" s="234">
        <f>D178-D177</f>
        <v>0</v>
      </c>
      <c r="E176" s="234">
        <f>E178-E177</f>
        <v>0</v>
      </c>
      <c r="F176" s="236">
        <f t="shared" si="88"/>
        <v>0</v>
      </c>
      <c r="G176" s="151" t="e">
        <f t="shared" si="89"/>
        <v>#DIV/0!</v>
      </c>
      <c r="H176" s="234">
        <f>H178-H177</f>
        <v>0</v>
      </c>
      <c r="I176" s="234">
        <f>I178-I177</f>
        <v>0</v>
      </c>
      <c r="J176" s="234">
        <f>J178-J177</f>
        <v>0</v>
      </c>
      <c r="K176" s="236">
        <f t="shared" si="90"/>
        <v>0</v>
      </c>
      <c r="L176" s="151" t="e">
        <f t="shared" si="91"/>
        <v>#DIV/0!</v>
      </c>
      <c r="M176" s="234">
        <f>M178-M177</f>
        <v>0</v>
      </c>
      <c r="N176" s="234">
        <f>N178-N177</f>
        <v>0</v>
      </c>
      <c r="O176" s="234">
        <f>O178-O177</f>
        <v>0</v>
      </c>
      <c r="P176" s="236">
        <f t="shared" si="92"/>
        <v>0</v>
      </c>
      <c r="Q176" s="151" t="e">
        <f t="shared" si="93"/>
        <v>#DIV/0!</v>
      </c>
    </row>
    <row r="177" spans="1:17" s="108" customFormat="1" ht="22.5" customHeight="1" hidden="1">
      <c r="A177" s="81" t="s">
        <v>193</v>
      </c>
      <c r="B177" s="81"/>
      <c r="C177" s="234">
        <f aca="true" t="shared" si="105" ref="C177:E178">H177+M177</f>
        <v>0</v>
      </c>
      <c r="D177" s="234">
        <f t="shared" si="105"/>
        <v>0</v>
      </c>
      <c r="E177" s="234">
        <f t="shared" si="105"/>
        <v>0</v>
      </c>
      <c r="F177" s="236">
        <f t="shared" si="88"/>
        <v>0</v>
      </c>
      <c r="G177" s="151" t="e">
        <f t="shared" si="89"/>
        <v>#DIV/0!</v>
      </c>
      <c r="H177" s="236"/>
      <c r="I177" s="236"/>
      <c r="J177" s="236"/>
      <c r="K177" s="236">
        <f t="shared" si="90"/>
        <v>0</v>
      </c>
      <c r="L177" s="151" t="e">
        <f t="shared" si="91"/>
        <v>#DIV/0!</v>
      </c>
      <c r="M177" s="234"/>
      <c r="N177" s="234"/>
      <c r="O177" s="234"/>
      <c r="P177" s="236">
        <f t="shared" si="92"/>
        <v>0</v>
      </c>
      <c r="Q177" s="151" t="e">
        <f t="shared" si="93"/>
        <v>#DIV/0!</v>
      </c>
    </row>
    <row r="178" spans="1:17" s="108" customFormat="1" ht="22.5" customHeight="1" hidden="1">
      <c r="A178" s="81" t="s">
        <v>194</v>
      </c>
      <c r="B178" s="81"/>
      <c r="C178" s="234">
        <f t="shared" si="105"/>
        <v>0</v>
      </c>
      <c r="D178" s="234">
        <f t="shared" si="105"/>
        <v>0</v>
      </c>
      <c r="E178" s="234">
        <f t="shared" si="105"/>
        <v>0</v>
      </c>
      <c r="F178" s="236">
        <f t="shared" si="88"/>
        <v>0</v>
      </c>
      <c r="G178" s="151" t="e">
        <f t="shared" si="89"/>
        <v>#DIV/0!</v>
      </c>
      <c r="H178" s="236"/>
      <c r="I178" s="236"/>
      <c r="J178" s="236"/>
      <c r="K178" s="236">
        <f t="shared" si="90"/>
        <v>0</v>
      </c>
      <c r="L178" s="151" t="e">
        <f t="shared" si="91"/>
        <v>#DIV/0!</v>
      </c>
      <c r="M178" s="234"/>
      <c r="N178" s="234"/>
      <c r="O178" s="234"/>
      <c r="P178" s="236">
        <f t="shared" si="92"/>
        <v>0</v>
      </c>
      <c r="Q178" s="151" t="e">
        <f t="shared" si="93"/>
        <v>#DIV/0!</v>
      </c>
    </row>
    <row r="179" spans="1:17" s="108" customFormat="1" ht="22.5" customHeight="1" hidden="1">
      <c r="A179" s="81" t="s">
        <v>304</v>
      </c>
      <c r="B179" s="81" t="s">
        <v>303</v>
      </c>
      <c r="C179" s="234">
        <f>C181-C180</f>
        <v>0</v>
      </c>
      <c r="D179" s="234">
        <f>D181-D180</f>
        <v>0</v>
      </c>
      <c r="E179" s="234">
        <f>E181-E180</f>
        <v>0</v>
      </c>
      <c r="F179" s="236">
        <f t="shared" si="88"/>
        <v>0</v>
      </c>
      <c r="G179" s="151" t="e">
        <f t="shared" si="89"/>
        <v>#DIV/0!</v>
      </c>
      <c r="H179" s="234">
        <f>H181-H180</f>
        <v>0</v>
      </c>
      <c r="I179" s="234">
        <f>I181-I180</f>
        <v>0</v>
      </c>
      <c r="J179" s="234">
        <f>J181-J180</f>
        <v>0</v>
      </c>
      <c r="K179" s="236">
        <f t="shared" si="90"/>
        <v>0</v>
      </c>
      <c r="L179" s="151" t="e">
        <f t="shared" si="91"/>
        <v>#DIV/0!</v>
      </c>
      <c r="M179" s="234">
        <f>M181-M180</f>
        <v>0</v>
      </c>
      <c r="N179" s="234">
        <f>N181-N180</f>
        <v>0</v>
      </c>
      <c r="O179" s="234">
        <f>O181-O180</f>
        <v>0</v>
      </c>
      <c r="P179" s="236">
        <f t="shared" si="92"/>
        <v>0</v>
      </c>
      <c r="Q179" s="151" t="e">
        <f t="shared" si="93"/>
        <v>#DIV/0!</v>
      </c>
    </row>
    <row r="180" spans="1:17" s="108" customFormat="1" ht="22.5" customHeight="1" hidden="1">
      <c r="A180" s="81" t="s">
        <v>193</v>
      </c>
      <c r="B180" s="81"/>
      <c r="C180" s="234">
        <f aca="true" t="shared" si="106" ref="C180:E181">H180+M180</f>
        <v>0</v>
      </c>
      <c r="D180" s="234">
        <f t="shared" si="106"/>
        <v>0</v>
      </c>
      <c r="E180" s="234">
        <f t="shared" si="106"/>
        <v>0</v>
      </c>
      <c r="F180" s="236">
        <f t="shared" si="88"/>
        <v>0</v>
      </c>
      <c r="G180" s="151" t="e">
        <f t="shared" si="89"/>
        <v>#DIV/0!</v>
      </c>
      <c r="H180" s="236"/>
      <c r="I180" s="236"/>
      <c r="J180" s="236"/>
      <c r="K180" s="236">
        <f t="shared" si="90"/>
        <v>0</v>
      </c>
      <c r="L180" s="151" t="e">
        <f t="shared" si="91"/>
        <v>#DIV/0!</v>
      </c>
      <c r="M180" s="234"/>
      <c r="N180" s="234"/>
      <c r="O180" s="234"/>
      <c r="P180" s="236">
        <f t="shared" si="92"/>
        <v>0</v>
      </c>
      <c r="Q180" s="151" t="e">
        <f t="shared" si="93"/>
        <v>#DIV/0!</v>
      </c>
    </row>
    <row r="181" spans="1:17" s="108" customFormat="1" ht="22.5" customHeight="1" hidden="1">
      <c r="A181" s="81" t="s">
        <v>194</v>
      </c>
      <c r="B181" s="81"/>
      <c r="C181" s="234">
        <f t="shared" si="106"/>
        <v>0</v>
      </c>
      <c r="D181" s="234">
        <f t="shared" si="106"/>
        <v>0</v>
      </c>
      <c r="E181" s="234">
        <f t="shared" si="106"/>
        <v>0</v>
      </c>
      <c r="F181" s="236">
        <f t="shared" si="88"/>
        <v>0</v>
      </c>
      <c r="G181" s="151" t="e">
        <f t="shared" si="89"/>
        <v>#DIV/0!</v>
      </c>
      <c r="H181" s="236"/>
      <c r="I181" s="236"/>
      <c r="J181" s="236"/>
      <c r="K181" s="236">
        <f t="shared" si="90"/>
        <v>0</v>
      </c>
      <c r="L181" s="151" t="e">
        <f t="shared" si="91"/>
        <v>#DIV/0!</v>
      </c>
      <c r="M181" s="234"/>
      <c r="N181" s="234"/>
      <c r="O181" s="234"/>
      <c r="P181" s="236">
        <f t="shared" si="92"/>
        <v>0</v>
      </c>
      <c r="Q181" s="151" t="e">
        <f t="shared" si="93"/>
        <v>#DIV/0!</v>
      </c>
    </row>
    <row r="182" spans="1:17" s="108" customFormat="1" ht="22.5" customHeight="1" hidden="1">
      <c r="A182" s="81" t="s">
        <v>306</v>
      </c>
      <c r="B182" s="81" t="s">
        <v>305</v>
      </c>
      <c r="C182" s="234">
        <f>C184-C183</f>
        <v>0</v>
      </c>
      <c r="D182" s="234">
        <f>D184-D183</f>
        <v>0</v>
      </c>
      <c r="E182" s="234">
        <f>E184-E183</f>
        <v>0</v>
      </c>
      <c r="F182" s="236">
        <f t="shared" si="88"/>
        <v>0</v>
      </c>
      <c r="G182" s="151" t="e">
        <f t="shared" si="89"/>
        <v>#DIV/0!</v>
      </c>
      <c r="H182" s="234">
        <f>H184-H183</f>
        <v>0</v>
      </c>
      <c r="I182" s="234">
        <f>I184-I183</f>
        <v>0</v>
      </c>
      <c r="J182" s="234">
        <f>J184-J183</f>
        <v>0</v>
      </c>
      <c r="K182" s="236">
        <f t="shared" si="90"/>
        <v>0</v>
      </c>
      <c r="L182" s="151" t="e">
        <f t="shared" si="91"/>
        <v>#DIV/0!</v>
      </c>
      <c r="M182" s="234">
        <f>M184-M183</f>
        <v>0</v>
      </c>
      <c r="N182" s="234">
        <f>N184-N183</f>
        <v>0</v>
      </c>
      <c r="O182" s="234">
        <f>O184-O183</f>
        <v>0</v>
      </c>
      <c r="P182" s="236">
        <f t="shared" si="92"/>
        <v>0</v>
      </c>
      <c r="Q182" s="151" t="e">
        <f t="shared" si="93"/>
        <v>#DIV/0!</v>
      </c>
    </row>
    <row r="183" spans="1:17" s="108" customFormat="1" ht="22.5" customHeight="1" hidden="1">
      <c r="A183" s="81" t="s">
        <v>193</v>
      </c>
      <c r="B183" s="81"/>
      <c r="C183" s="234">
        <f aca="true" t="shared" si="107" ref="C183:E184">H183+M183</f>
        <v>0</v>
      </c>
      <c r="D183" s="234">
        <f t="shared" si="107"/>
        <v>0</v>
      </c>
      <c r="E183" s="234">
        <f t="shared" si="107"/>
        <v>0</v>
      </c>
      <c r="F183" s="236">
        <f t="shared" si="88"/>
        <v>0</v>
      </c>
      <c r="G183" s="151" t="e">
        <f t="shared" si="89"/>
        <v>#DIV/0!</v>
      </c>
      <c r="H183" s="236"/>
      <c r="I183" s="236"/>
      <c r="J183" s="236"/>
      <c r="K183" s="236">
        <f t="shared" si="90"/>
        <v>0</v>
      </c>
      <c r="L183" s="151" t="e">
        <f t="shared" si="91"/>
        <v>#DIV/0!</v>
      </c>
      <c r="M183" s="234"/>
      <c r="N183" s="234"/>
      <c r="O183" s="234"/>
      <c r="P183" s="236">
        <f t="shared" si="92"/>
        <v>0</v>
      </c>
      <c r="Q183" s="151" t="e">
        <f t="shared" si="93"/>
        <v>#DIV/0!</v>
      </c>
    </row>
    <row r="184" spans="1:17" s="108" customFormat="1" ht="22.5" customHeight="1" hidden="1">
      <c r="A184" s="81" t="s">
        <v>194</v>
      </c>
      <c r="B184" s="81"/>
      <c r="C184" s="234">
        <f t="shared" si="107"/>
        <v>0</v>
      </c>
      <c r="D184" s="234">
        <f t="shared" si="107"/>
        <v>0</v>
      </c>
      <c r="E184" s="234">
        <f t="shared" si="107"/>
        <v>0</v>
      </c>
      <c r="F184" s="236">
        <f t="shared" si="88"/>
        <v>0</v>
      </c>
      <c r="G184" s="151" t="e">
        <f t="shared" si="89"/>
        <v>#DIV/0!</v>
      </c>
      <c r="H184" s="236"/>
      <c r="I184" s="236"/>
      <c r="J184" s="236"/>
      <c r="K184" s="236">
        <f t="shared" si="90"/>
        <v>0</v>
      </c>
      <c r="L184" s="151" t="e">
        <f t="shared" si="91"/>
        <v>#DIV/0!</v>
      </c>
      <c r="M184" s="234"/>
      <c r="N184" s="234"/>
      <c r="O184" s="234"/>
      <c r="P184" s="236">
        <f t="shared" si="92"/>
        <v>0</v>
      </c>
      <c r="Q184" s="151" t="e">
        <f t="shared" si="93"/>
        <v>#DIV/0!</v>
      </c>
    </row>
    <row r="185" spans="1:17" s="108" customFormat="1" ht="22.5" customHeight="1" hidden="1">
      <c r="A185" s="81" t="s">
        <v>182</v>
      </c>
      <c r="B185" s="81" t="s">
        <v>181</v>
      </c>
      <c r="C185" s="234">
        <f>C187-C186</f>
        <v>0</v>
      </c>
      <c r="D185" s="234">
        <f>D187-D186</f>
        <v>0</v>
      </c>
      <c r="E185" s="234">
        <f>E187-E186</f>
        <v>0</v>
      </c>
      <c r="F185" s="236">
        <f t="shared" si="88"/>
        <v>0</v>
      </c>
      <c r="G185" s="151" t="e">
        <f t="shared" si="89"/>
        <v>#DIV/0!</v>
      </c>
      <c r="H185" s="234">
        <f>H187-H186</f>
        <v>0</v>
      </c>
      <c r="I185" s="234">
        <f>I187-I186</f>
        <v>0</v>
      </c>
      <c r="J185" s="234">
        <f>J187-J186</f>
        <v>0</v>
      </c>
      <c r="K185" s="236">
        <f t="shared" si="90"/>
        <v>0</v>
      </c>
      <c r="L185" s="151" t="e">
        <f t="shared" si="91"/>
        <v>#DIV/0!</v>
      </c>
      <c r="M185" s="234">
        <f>M187-M186</f>
        <v>0</v>
      </c>
      <c r="N185" s="234">
        <f>N187-N186</f>
        <v>0</v>
      </c>
      <c r="O185" s="234">
        <f>O187-O186</f>
        <v>0</v>
      </c>
      <c r="P185" s="236">
        <f t="shared" si="92"/>
        <v>0</v>
      </c>
      <c r="Q185" s="151" t="e">
        <f t="shared" si="93"/>
        <v>#DIV/0!</v>
      </c>
    </row>
    <row r="186" spans="1:17" s="108" customFormat="1" ht="22.5" customHeight="1" hidden="1">
      <c r="A186" s="81" t="s">
        <v>193</v>
      </c>
      <c r="B186" s="81"/>
      <c r="C186" s="234">
        <f aca="true" t="shared" si="108" ref="C186:E187">H186+M186</f>
        <v>0</v>
      </c>
      <c r="D186" s="234">
        <f t="shared" si="108"/>
        <v>0</v>
      </c>
      <c r="E186" s="234">
        <f t="shared" si="108"/>
        <v>0</v>
      </c>
      <c r="F186" s="236">
        <f t="shared" si="88"/>
        <v>0</v>
      </c>
      <c r="G186" s="151" t="e">
        <f t="shared" si="89"/>
        <v>#DIV/0!</v>
      </c>
      <c r="H186" s="236"/>
      <c r="I186" s="236"/>
      <c r="J186" s="236"/>
      <c r="K186" s="236">
        <f t="shared" si="90"/>
        <v>0</v>
      </c>
      <c r="L186" s="151" t="e">
        <f t="shared" si="91"/>
        <v>#DIV/0!</v>
      </c>
      <c r="M186" s="234"/>
      <c r="N186" s="234"/>
      <c r="O186" s="234"/>
      <c r="P186" s="236">
        <f t="shared" si="92"/>
        <v>0</v>
      </c>
      <c r="Q186" s="151" t="e">
        <f t="shared" si="93"/>
        <v>#DIV/0!</v>
      </c>
    </row>
    <row r="187" spans="1:17" s="108" customFormat="1" ht="22.5" customHeight="1" hidden="1">
      <c r="A187" s="81" t="s">
        <v>194</v>
      </c>
      <c r="B187" s="81"/>
      <c r="C187" s="234">
        <f t="shared" si="108"/>
        <v>0</v>
      </c>
      <c r="D187" s="234">
        <f t="shared" si="108"/>
        <v>0</v>
      </c>
      <c r="E187" s="234">
        <f t="shared" si="108"/>
        <v>0</v>
      </c>
      <c r="F187" s="236">
        <f t="shared" si="88"/>
        <v>0</v>
      </c>
      <c r="G187" s="151" t="e">
        <f t="shared" si="89"/>
        <v>#DIV/0!</v>
      </c>
      <c r="H187" s="236"/>
      <c r="I187" s="236"/>
      <c r="J187" s="236"/>
      <c r="K187" s="236">
        <f t="shared" si="90"/>
        <v>0</v>
      </c>
      <c r="L187" s="151" t="e">
        <f t="shared" si="91"/>
        <v>#DIV/0!</v>
      </c>
      <c r="M187" s="234"/>
      <c r="N187" s="234"/>
      <c r="O187" s="234"/>
      <c r="P187" s="236">
        <f t="shared" si="92"/>
        <v>0</v>
      </c>
      <c r="Q187" s="151" t="e">
        <f t="shared" si="93"/>
        <v>#DIV/0!</v>
      </c>
    </row>
    <row r="188" spans="1:17" s="107" customFormat="1" ht="22.5" customHeight="1">
      <c r="A188" s="80" t="s">
        <v>190</v>
      </c>
      <c r="B188" s="80"/>
      <c r="C188" s="233">
        <f>C190-C189</f>
        <v>31415</v>
      </c>
      <c r="D188" s="233">
        <f>D190-D189</f>
        <v>113948.002</v>
      </c>
      <c r="E188" s="233">
        <f>E190-E189</f>
        <v>60762.449</v>
      </c>
      <c r="F188" s="210">
        <f t="shared" si="88"/>
        <v>-53185.55299999999</v>
      </c>
      <c r="G188" s="150">
        <f t="shared" si="89"/>
        <v>53.32471647901295</v>
      </c>
      <c r="H188" s="233">
        <f>H190-H189</f>
        <v>31415</v>
      </c>
      <c r="I188" s="233">
        <f>I190-I189</f>
        <v>111478.4</v>
      </c>
      <c r="J188" s="233">
        <f>J190-J189</f>
        <v>58303.203</v>
      </c>
      <c r="K188" s="210">
        <f t="shared" si="90"/>
        <v>-53175.19699999999</v>
      </c>
      <c r="L188" s="150">
        <f t="shared" si="91"/>
        <v>52.299999820593044</v>
      </c>
      <c r="M188" s="353">
        <f>M190-M189</f>
        <v>0</v>
      </c>
      <c r="N188" s="233">
        <f>N190-N189</f>
        <v>2469.602</v>
      </c>
      <c r="O188" s="233">
        <f>O190-O189</f>
        <v>2459.246</v>
      </c>
      <c r="P188" s="210">
        <f t="shared" si="92"/>
        <v>-10.355999999999767</v>
      </c>
      <c r="Q188" s="150">
        <f t="shared" si="93"/>
        <v>99.58066117536349</v>
      </c>
    </row>
    <row r="189" spans="1:17" s="107" customFormat="1" ht="22.5" customHeight="1" hidden="1">
      <c r="A189" s="80" t="s">
        <v>193</v>
      </c>
      <c r="B189" s="80"/>
      <c r="C189" s="233">
        <f aca="true" t="shared" si="109" ref="C189:E190">H189+M189</f>
        <v>0</v>
      </c>
      <c r="D189" s="233">
        <f t="shared" si="109"/>
        <v>0</v>
      </c>
      <c r="E189" s="233">
        <f t="shared" si="109"/>
        <v>0</v>
      </c>
      <c r="F189" s="210">
        <f t="shared" si="88"/>
        <v>0</v>
      </c>
      <c r="G189" s="150" t="e">
        <f t="shared" si="89"/>
        <v>#DIV/0!</v>
      </c>
      <c r="H189" s="210"/>
      <c r="I189" s="210"/>
      <c r="J189" s="210"/>
      <c r="K189" s="210">
        <f t="shared" si="90"/>
        <v>0</v>
      </c>
      <c r="L189" s="150" t="e">
        <f t="shared" si="91"/>
        <v>#DIV/0!</v>
      </c>
      <c r="M189" s="233"/>
      <c r="N189" s="233"/>
      <c r="O189" s="233"/>
      <c r="P189" s="210">
        <f t="shared" si="92"/>
        <v>0</v>
      </c>
      <c r="Q189" s="150" t="e">
        <f t="shared" si="93"/>
        <v>#DIV/0!</v>
      </c>
    </row>
    <row r="190" spans="1:17" s="107" customFormat="1" ht="22.5" customHeight="1">
      <c r="A190" s="80" t="s">
        <v>194</v>
      </c>
      <c r="B190" s="80"/>
      <c r="C190" s="233">
        <f t="shared" si="109"/>
        <v>31415</v>
      </c>
      <c r="D190" s="233">
        <f t="shared" si="109"/>
        <v>113948.002</v>
      </c>
      <c r="E190" s="233">
        <f t="shared" si="109"/>
        <v>60762.449</v>
      </c>
      <c r="F190" s="210">
        <f t="shared" si="88"/>
        <v>-53185.55299999999</v>
      </c>
      <c r="G190" s="150">
        <f t="shared" si="89"/>
        <v>53.32471647901295</v>
      </c>
      <c r="H190" s="210">
        <v>31415</v>
      </c>
      <c r="I190" s="210">
        <v>111478.4</v>
      </c>
      <c r="J190" s="210">
        <v>58303.203</v>
      </c>
      <c r="K190" s="210">
        <f t="shared" si="90"/>
        <v>-53175.19699999999</v>
      </c>
      <c r="L190" s="150">
        <f t="shared" si="91"/>
        <v>52.299999820593044</v>
      </c>
      <c r="M190" s="233"/>
      <c r="N190" s="233">
        <v>2469.602</v>
      </c>
      <c r="O190" s="233">
        <v>2459.246</v>
      </c>
      <c r="P190" s="210">
        <f t="shared" si="92"/>
        <v>-10.355999999999767</v>
      </c>
      <c r="Q190" s="150">
        <f t="shared" si="93"/>
        <v>99.58066117536349</v>
      </c>
    </row>
    <row r="191" spans="1:17" s="108" customFormat="1" ht="22.5" customHeight="1">
      <c r="A191" s="81"/>
      <c r="B191" s="109"/>
      <c r="C191" s="234"/>
      <c r="D191" s="234"/>
      <c r="E191" s="236"/>
      <c r="F191" s="210"/>
      <c r="G191" s="150"/>
      <c r="H191" s="236"/>
      <c r="I191" s="236"/>
      <c r="J191" s="236"/>
      <c r="K191" s="210"/>
      <c r="L191" s="150"/>
      <c r="M191" s="234"/>
      <c r="N191" s="234"/>
      <c r="O191" s="234"/>
      <c r="P191" s="210"/>
      <c r="Q191" s="150"/>
    </row>
    <row r="192" spans="1:17" s="108" customFormat="1" ht="22.5" customHeight="1">
      <c r="A192" s="75" t="s">
        <v>5</v>
      </c>
      <c r="B192" s="109"/>
      <c r="C192" s="233">
        <f>C194-C193</f>
        <v>230301.19999999998</v>
      </c>
      <c r="D192" s="233">
        <f>D194-D193</f>
        <v>2236389.3079999997</v>
      </c>
      <c r="E192" s="233">
        <f>E194-E193</f>
        <v>2081958.7010000001</v>
      </c>
      <c r="F192" s="210">
        <f aca="true" t="shared" si="110" ref="F192:F227">E192-D192</f>
        <v>-154430.6069999996</v>
      </c>
      <c r="G192" s="150">
        <f aca="true" t="shared" si="111" ref="G192:G227">E192/D192*100</f>
        <v>93.09464562151271</v>
      </c>
      <c r="H192" s="233">
        <f>H194-H193</f>
        <v>147288.9</v>
      </c>
      <c r="I192" s="233">
        <f>I194-I193</f>
        <v>2099211.1</v>
      </c>
      <c r="J192" s="233">
        <f>J194-J193</f>
        <v>1981508.3020000001</v>
      </c>
      <c r="K192" s="210">
        <f aca="true" t="shared" si="112" ref="K192:K227">J192-I192</f>
        <v>-117702.79799999995</v>
      </c>
      <c r="L192" s="150">
        <f aca="true" t="shared" si="113" ref="L192:L227">J192/I192*100</f>
        <v>94.39299849357695</v>
      </c>
      <c r="M192" s="233">
        <f>M194-M193</f>
        <v>83012.3</v>
      </c>
      <c r="N192" s="233">
        <f>N194-N193</f>
        <v>137178.20799999998</v>
      </c>
      <c r="O192" s="233">
        <f>O194-O193</f>
        <v>100450.399</v>
      </c>
      <c r="P192" s="210">
        <f aca="true" t="shared" si="114" ref="P192:P227">O192-N192</f>
        <v>-36727.80899999998</v>
      </c>
      <c r="Q192" s="150">
        <f aca="true" t="shared" si="115" ref="Q192:Q227">O192/N192*100</f>
        <v>73.22620732879089</v>
      </c>
    </row>
    <row r="193" spans="1:17" s="107" customFormat="1" ht="22.5" customHeight="1">
      <c r="A193" s="80" t="s">
        <v>193</v>
      </c>
      <c r="B193" s="79"/>
      <c r="C193" s="353">
        <f aca="true" t="shared" si="116" ref="C193:E194">C196+C226</f>
        <v>0</v>
      </c>
      <c r="D193" s="353">
        <f t="shared" si="116"/>
        <v>0</v>
      </c>
      <c r="E193" s="233">
        <f t="shared" si="116"/>
        <v>50</v>
      </c>
      <c r="F193" s="210">
        <f t="shared" si="110"/>
        <v>50</v>
      </c>
      <c r="G193" s="342" t="e">
        <f t="shared" si="111"/>
        <v>#DIV/0!</v>
      </c>
      <c r="H193" s="353">
        <f aca="true" t="shared" si="117" ref="H193:J194">H196+H226</f>
        <v>0</v>
      </c>
      <c r="I193" s="353">
        <f t="shared" si="117"/>
        <v>0</v>
      </c>
      <c r="J193" s="233">
        <f t="shared" si="117"/>
        <v>50</v>
      </c>
      <c r="K193" s="210">
        <f t="shared" si="112"/>
        <v>50</v>
      </c>
      <c r="L193" s="342" t="e">
        <f t="shared" si="113"/>
        <v>#DIV/0!</v>
      </c>
      <c r="M193" s="353">
        <f aca="true" t="shared" si="118" ref="M193:O194">M196+M226</f>
        <v>0</v>
      </c>
      <c r="N193" s="353">
        <f t="shared" si="118"/>
        <v>0</v>
      </c>
      <c r="O193" s="353">
        <f t="shared" si="118"/>
        <v>0</v>
      </c>
      <c r="P193" s="345">
        <f t="shared" si="114"/>
        <v>0</v>
      </c>
      <c r="Q193" s="342" t="e">
        <f t="shared" si="115"/>
        <v>#DIV/0!</v>
      </c>
    </row>
    <row r="194" spans="1:17" s="107" customFormat="1" ht="22.5" customHeight="1">
      <c r="A194" s="80" t="s">
        <v>194</v>
      </c>
      <c r="B194" s="80"/>
      <c r="C194" s="233">
        <f t="shared" si="116"/>
        <v>230301.19999999998</v>
      </c>
      <c r="D194" s="233">
        <f t="shared" si="116"/>
        <v>2236389.3079999997</v>
      </c>
      <c r="E194" s="233">
        <f t="shared" si="116"/>
        <v>2082008.7010000001</v>
      </c>
      <c r="F194" s="210">
        <f t="shared" si="110"/>
        <v>-154380.6069999996</v>
      </c>
      <c r="G194" s="150">
        <f t="shared" si="111"/>
        <v>93.09688136820587</v>
      </c>
      <c r="H194" s="233">
        <f t="shared" si="117"/>
        <v>147288.9</v>
      </c>
      <c r="I194" s="233">
        <f t="shared" si="117"/>
        <v>2099211.1</v>
      </c>
      <c r="J194" s="233">
        <f t="shared" si="117"/>
        <v>1981558.3020000001</v>
      </c>
      <c r="K194" s="210">
        <f t="shared" si="112"/>
        <v>-117652.79799999995</v>
      </c>
      <c r="L194" s="150">
        <f t="shared" si="113"/>
        <v>94.39538034073848</v>
      </c>
      <c r="M194" s="233">
        <f t="shared" si="118"/>
        <v>83012.3</v>
      </c>
      <c r="N194" s="233">
        <f t="shared" si="118"/>
        <v>137178.20799999998</v>
      </c>
      <c r="O194" s="233">
        <f t="shared" si="118"/>
        <v>100450.399</v>
      </c>
      <c r="P194" s="210">
        <f t="shared" si="114"/>
        <v>-36727.80899999998</v>
      </c>
      <c r="Q194" s="150">
        <f t="shared" si="115"/>
        <v>73.22620732879089</v>
      </c>
    </row>
    <row r="195" spans="1:17" s="107" customFormat="1" ht="22.5" customHeight="1">
      <c r="A195" s="80" t="s">
        <v>189</v>
      </c>
      <c r="B195" s="80"/>
      <c r="C195" s="233">
        <f>C197-C196</f>
        <v>205675.8</v>
      </c>
      <c r="D195" s="233">
        <f>D197-D196</f>
        <v>2170835.908</v>
      </c>
      <c r="E195" s="233">
        <f>E197-E196</f>
        <v>2052028.4640000002</v>
      </c>
      <c r="F195" s="210">
        <f t="shared" si="110"/>
        <v>-118807.44399999967</v>
      </c>
      <c r="G195" s="150">
        <f t="shared" si="111"/>
        <v>94.5271107980954</v>
      </c>
      <c r="H195" s="233">
        <f>H197-H196</f>
        <v>123725.9</v>
      </c>
      <c r="I195" s="233">
        <f>I197-I196</f>
        <v>2045243.1</v>
      </c>
      <c r="J195" s="233">
        <f>J197-J196</f>
        <v>1959287.746</v>
      </c>
      <c r="K195" s="210">
        <f t="shared" si="112"/>
        <v>-85955.35400000005</v>
      </c>
      <c r="L195" s="150">
        <f t="shared" si="113"/>
        <v>95.79730380217393</v>
      </c>
      <c r="M195" s="233">
        <f>M197-M196</f>
        <v>81949.90000000001</v>
      </c>
      <c r="N195" s="233">
        <f>N197-N196</f>
        <v>125592.80799999999</v>
      </c>
      <c r="O195" s="233">
        <f>O197-O196</f>
        <v>92740.71800000001</v>
      </c>
      <c r="P195" s="210">
        <f t="shared" si="114"/>
        <v>-32852.08999999998</v>
      </c>
      <c r="Q195" s="150">
        <f t="shared" si="115"/>
        <v>73.84237957319978</v>
      </c>
    </row>
    <row r="196" spans="1:17" s="107" customFormat="1" ht="22.5" customHeight="1">
      <c r="A196" s="80" t="s">
        <v>193</v>
      </c>
      <c r="B196" s="80"/>
      <c r="C196" s="353">
        <f aca="true" t="shared" si="119" ref="C196:E197">C199+C202+C205+C208+C211+C214+C217+C220+C223</f>
        <v>0</v>
      </c>
      <c r="D196" s="353">
        <f t="shared" si="119"/>
        <v>0</v>
      </c>
      <c r="E196" s="233">
        <f t="shared" si="119"/>
        <v>50</v>
      </c>
      <c r="F196" s="210">
        <f t="shared" si="110"/>
        <v>50</v>
      </c>
      <c r="G196" s="342" t="e">
        <f t="shared" si="111"/>
        <v>#DIV/0!</v>
      </c>
      <c r="H196" s="353">
        <f aca="true" t="shared" si="120" ref="H196:J197">H199+H202+H205+H208+H211+H214+H217+H220+H223</f>
        <v>0</v>
      </c>
      <c r="I196" s="353">
        <f t="shared" si="120"/>
        <v>0</v>
      </c>
      <c r="J196" s="233">
        <f t="shared" si="120"/>
        <v>50</v>
      </c>
      <c r="K196" s="210">
        <f t="shared" si="112"/>
        <v>50</v>
      </c>
      <c r="L196" s="342" t="e">
        <f t="shared" si="113"/>
        <v>#DIV/0!</v>
      </c>
      <c r="M196" s="353">
        <f aca="true" t="shared" si="121" ref="M196:O197">M199+M202+M205+M208+M211+M214+M217+M220+M223</f>
        <v>0</v>
      </c>
      <c r="N196" s="353">
        <f t="shared" si="121"/>
        <v>0</v>
      </c>
      <c r="O196" s="353">
        <f t="shared" si="121"/>
        <v>0</v>
      </c>
      <c r="P196" s="345">
        <f t="shared" si="114"/>
        <v>0</v>
      </c>
      <c r="Q196" s="342" t="e">
        <f t="shared" si="115"/>
        <v>#DIV/0!</v>
      </c>
    </row>
    <row r="197" spans="1:17" s="107" customFormat="1" ht="22.5" customHeight="1">
      <c r="A197" s="80" t="s">
        <v>194</v>
      </c>
      <c r="B197" s="80"/>
      <c r="C197" s="233">
        <f t="shared" si="119"/>
        <v>205675.8</v>
      </c>
      <c r="D197" s="233">
        <f t="shared" si="119"/>
        <v>2170835.908</v>
      </c>
      <c r="E197" s="233">
        <f t="shared" si="119"/>
        <v>2052078.4640000002</v>
      </c>
      <c r="F197" s="210">
        <f t="shared" si="110"/>
        <v>-118757.44399999967</v>
      </c>
      <c r="G197" s="150">
        <f t="shared" si="111"/>
        <v>94.52941405831953</v>
      </c>
      <c r="H197" s="233">
        <f t="shared" si="120"/>
        <v>123725.9</v>
      </c>
      <c r="I197" s="233">
        <f t="shared" si="120"/>
        <v>2045243.1</v>
      </c>
      <c r="J197" s="233">
        <f t="shared" si="120"/>
        <v>1959337.746</v>
      </c>
      <c r="K197" s="210">
        <f t="shared" si="112"/>
        <v>-85905.35400000005</v>
      </c>
      <c r="L197" s="150">
        <f t="shared" si="113"/>
        <v>95.79974849933487</v>
      </c>
      <c r="M197" s="233">
        <f t="shared" si="121"/>
        <v>81949.90000000001</v>
      </c>
      <c r="N197" s="233">
        <f t="shared" si="121"/>
        <v>125592.80799999999</v>
      </c>
      <c r="O197" s="233">
        <f t="shared" si="121"/>
        <v>92740.71800000001</v>
      </c>
      <c r="P197" s="210">
        <f t="shared" si="114"/>
        <v>-32852.08999999998</v>
      </c>
      <c r="Q197" s="150">
        <f t="shared" si="115"/>
        <v>73.84237957319978</v>
      </c>
    </row>
    <row r="198" spans="1:17" s="108" customFormat="1" ht="22.5" customHeight="1">
      <c r="A198" s="81" t="s">
        <v>174</v>
      </c>
      <c r="B198" s="81" t="s">
        <v>173</v>
      </c>
      <c r="C198" s="234">
        <f>C200-C199</f>
        <v>64051.7</v>
      </c>
      <c r="D198" s="234">
        <f>D200-D199</f>
        <v>2042086.908</v>
      </c>
      <c r="E198" s="234">
        <f>E200-E199</f>
        <v>1933520.57</v>
      </c>
      <c r="F198" s="236">
        <f t="shared" si="110"/>
        <v>-108566.33799999999</v>
      </c>
      <c r="G198" s="151">
        <f t="shared" si="111"/>
        <v>94.68355937376197</v>
      </c>
      <c r="H198" s="234">
        <f>H200-H199</f>
        <v>3300</v>
      </c>
      <c r="I198" s="234">
        <f>I200-I199</f>
        <v>1942606.5</v>
      </c>
      <c r="J198" s="234">
        <f>J200-J199</f>
        <v>1861494.25</v>
      </c>
      <c r="K198" s="236">
        <f t="shared" si="112"/>
        <v>-81112.25</v>
      </c>
      <c r="L198" s="151">
        <f t="shared" si="113"/>
        <v>95.82456611773922</v>
      </c>
      <c r="M198" s="234">
        <f>M200-M199</f>
        <v>60751.7</v>
      </c>
      <c r="N198" s="234">
        <f>N200-N199</f>
        <v>99480.408</v>
      </c>
      <c r="O198" s="234">
        <f>O200-O199</f>
        <v>72026.32</v>
      </c>
      <c r="P198" s="236">
        <f t="shared" si="114"/>
        <v>-27454.08799999999</v>
      </c>
      <c r="Q198" s="151">
        <f t="shared" si="115"/>
        <v>72.40251768971436</v>
      </c>
    </row>
    <row r="199" spans="1:17" s="108" customFormat="1" ht="22.5" customHeight="1" hidden="1">
      <c r="A199" s="81" t="s">
        <v>193</v>
      </c>
      <c r="B199" s="81"/>
      <c r="C199" s="234">
        <f aca="true" t="shared" si="122" ref="C199:E200">H199+M199</f>
        <v>0</v>
      </c>
      <c r="D199" s="234">
        <f t="shared" si="122"/>
        <v>0</v>
      </c>
      <c r="E199" s="234">
        <f t="shared" si="122"/>
        <v>0</v>
      </c>
      <c r="F199" s="236">
        <f t="shared" si="110"/>
        <v>0</v>
      </c>
      <c r="G199" s="151" t="e">
        <f t="shared" si="111"/>
        <v>#DIV/0!</v>
      </c>
      <c r="H199" s="236"/>
      <c r="I199" s="236"/>
      <c r="J199" s="236"/>
      <c r="K199" s="236">
        <f t="shared" si="112"/>
        <v>0</v>
      </c>
      <c r="L199" s="151" t="e">
        <f t="shared" si="113"/>
        <v>#DIV/0!</v>
      </c>
      <c r="M199" s="234"/>
      <c r="N199" s="234"/>
      <c r="O199" s="234"/>
      <c r="P199" s="236">
        <f t="shared" si="114"/>
        <v>0</v>
      </c>
      <c r="Q199" s="151" t="e">
        <f t="shared" si="115"/>
        <v>#DIV/0!</v>
      </c>
    </row>
    <row r="200" spans="1:17" s="108" customFormat="1" ht="22.5" customHeight="1">
      <c r="A200" s="81" t="s">
        <v>194</v>
      </c>
      <c r="B200" s="81"/>
      <c r="C200" s="234">
        <f t="shared" si="122"/>
        <v>64051.7</v>
      </c>
      <c r="D200" s="234">
        <f t="shared" si="122"/>
        <v>2042086.908</v>
      </c>
      <c r="E200" s="234">
        <f t="shared" si="122"/>
        <v>1933520.57</v>
      </c>
      <c r="F200" s="236">
        <f t="shared" si="110"/>
        <v>-108566.33799999999</v>
      </c>
      <c r="G200" s="151">
        <f t="shared" si="111"/>
        <v>94.68355937376197</v>
      </c>
      <c r="H200" s="236">
        <v>3300</v>
      </c>
      <c r="I200" s="236">
        <v>1942606.5</v>
      </c>
      <c r="J200" s="236">
        <v>1861494.25</v>
      </c>
      <c r="K200" s="236">
        <f t="shared" si="112"/>
        <v>-81112.25</v>
      </c>
      <c r="L200" s="151">
        <f t="shared" si="113"/>
        <v>95.82456611773922</v>
      </c>
      <c r="M200" s="234">
        <v>60751.7</v>
      </c>
      <c r="N200" s="234">
        <v>99480.408</v>
      </c>
      <c r="O200" s="234">
        <v>72026.32</v>
      </c>
      <c r="P200" s="236">
        <f t="shared" si="114"/>
        <v>-27454.08799999999</v>
      </c>
      <c r="Q200" s="151">
        <f t="shared" si="115"/>
        <v>72.40251768971436</v>
      </c>
    </row>
    <row r="201" spans="1:17" s="108" customFormat="1" ht="22.5" customHeight="1">
      <c r="A201" s="81" t="s">
        <v>176</v>
      </c>
      <c r="B201" s="81" t="s">
        <v>175</v>
      </c>
      <c r="C201" s="234">
        <f>C203-C202</f>
        <v>141596.3</v>
      </c>
      <c r="D201" s="234">
        <f>D203-D202</f>
        <v>128710.1</v>
      </c>
      <c r="E201" s="234">
        <f>E203-E202</f>
        <v>118489.894</v>
      </c>
      <c r="F201" s="236">
        <f t="shared" si="110"/>
        <v>-10220.206000000006</v>
      </c>
      <c r="G201" s="151">
        <f t="shared" si="111"/>
        <v>92.05951514294527</v>
      </c>
      <c r="H201" s="234">
        <f>H203-H202</f>
        <v>120425.9</v>
      </c>
      <c r="I201" s="234">
        <f>I203-I202</f>
        <v>102636.6</v>
      </c>
      <c r="J201" s="234">
        <f>J203-J202</f>
        <v>97793.496</v>
      </c>
      <c r="K201" s="236">
        <f t="shared" si="112"/>
        <v>-4843.104000000007</v>
      </c>
      <c r="L201" s="151">
        <f t="shared" si="113"/>
        <v>95.28130900672859</v>
      </c>
      <c r="M201" s="234">
        <f>M203-M202</f>
        <v>21170.4</v>
      </c>
      <c r="N201" s="234">
        <f>N203-N202</f>
        <v>26073.5</v>
      </c>
      <c r="O201" s="234">
        <f>O203-O202</f>
        <v>20696.398</v>
      </c>
      <c r="P201" s="236">
        <f t="shared" si="114"/>
        <v>-5377.101999999999</v>
      </c>
      <c r="Q201" s="151">
        <f t="shared" si="115"/>
        <v>79.37713770686713</v>
      </c>
    </row>
    <row r="202" spans="1:17" s="108" customFormat="1" ht="22.5" customHeight="1">
      <c r="A202" s="81" t="s">
        <v>193</v>
      </c>
      <c r="B202" s="81"/>
      <c r="C202" s="357">
        <f aca="true" t="shared" si="123" ref="C202:E203">H202+M202</f>
        <v>0</v>
      </c>
      <c r="D202" s="357">
        <f t="shared" si="123"/>
        <v>0</v>
      </c>
      <c r="E202" s="234">
        <f t="shared" si="123"/>
        <v>50</v>
      </c>
      <c r="F202" s="236">
        <f t="shared" si="110"/>
        <v>50</v>
      </c>
      <c r="G202" s="338" t="e">
        <f t="shared" si="111"/>
        <v>#DIV/0!</v>
      </c>
      <c r="H202" s="236"/>
      <c r="I202" s="236"/>
      <c r="J202" s="236">
        <v>50</v>
      </c>
      <c r="K202" s="236">
        <f t="shared" si="112"/>
        <v>50</v>
      </c>
      <c r="L202" s="338" t="e">
        <f t="shared" si="113"/>
        <v>#DIV/0!</v>
      </c>
      <c r="M202" s="234"/>
      <c r="N202" s="234"/>
      <c r="O202" s="234"/>
      <c r="P202" s="356">
        <f t="shared" si="114"/>
        <v>0</v>
      </c>
      <c r="Q202" s="338" t="e">
        <f t="shared" si="115"/>
        <v>#DIV/0!</v>
      </c>
    </row>
    <row r="203" spans="1:17" s="108" customFormat="1" ht="22.5" customHeight="1">
      <c r="A203" s="81" t="s">
        <v>194</v>
      </c>
      <c r="B203" s="81"/>
      <c r="C203" s="234">
        <f t="shared" si="123"/>
        <v>141596.3</v>
      </c>
      <c r="D203" s="234">
        <f t="shared" si="123"/>
        <v>128710.1</v>
      </c>
      <c r="E203" s="234">
        <f t="shared" si="123"/>
        <v>118539.894</v>
      </c>
      <c r="F203" s="236">
        <f t="shared" si="110"/>
        <v>-10170.206000000006</v>
      </c>
      <c r="G203" s="151">
        <f t="shared" si="111"/>
        <v>92.098362133197</v>
      </c>
      <c r="H203" s="236">
        <v>120425.9</v>
      </c>
      <c r="I203" s="236">
        <v>102636.6</v>
      </c>
      <c r="J203" s="236">
        <v>97843.496</v>
      </c>
      <c r="K203" s="236">
        <f t="shared" si="112"/>
        <v>-4793.104000000007</v>
      </c>
      <c r="L203" s="151">
        <f t="shared" si="113"/>
        <v>95.33002457213118</v>
      </c>
      <c r="M203" s="234">
        <v>21170.4</v>
      </c>
      <c r="N203" s="234">
        <v>26073.5</v>
      </c>
      <c r="O203" s="234">
        <v>20696.398</v>
      </c>
      <c r="P203" s="236">
        <f t="shared" si="114"/>
        <v>-5377.101999999999</v>
      </c>
      <c r="Q203" s="151">
        <f t="shared" si="115"/>
        <v>79.37713770686713</v>
      </c>
    </row>
    <row r="204" spans="1:17" s="108" customFormat="1" ht="22.5" customHeight="1">
      <c r="A204" s="81" t="s">
        <v>178</v>
      </c>
      <c r="B204" s="81" t="s">
        <v>177</v>
      </c>
      <c r="C204" s="234">
        <f>C206-C205</f>
        <v>27.8</v>
      </c>
      <c r="D204" s="234">
        <f>D206-D205</f>
        <v>38.9</v>
      </c>
      <c r="E204" s="234">
        <f>E206-E205</f>
        <v>18</v>
      </c>
      <c r="F204" s="236">
        <f t="shared" si="110"/>
        <v>-20.9</v>
      </c>
      <c r="G204" s="151">
        <f t="shared" si="111"/>
        <v>46.27249357326478</v>
      </c>
      <c r="H204" s="357">
        <f>H206-H205</f>
        <v>0</v>
      </c>
      <c r="I204" s="357">
        <f>I206-I205</f>
        <v>0</v>
      </c>
      <c r="J204" s="357">
        <f>J206-J205</f>
        <v>0</v>
      </c>
      <c r="K204" s="356">
        <f t="shared" si="112"/>
        <v>0</v>
      </c>
      <c r="L204" s="338" t="e">
        <f t="shared" si="113"/>
        <v>#DIV/0!</v>
      </c>
      <c r="M204" s="234">
        <f>M206-M205</f>
        <v>27.8</v>
      </c>
      <c r="N204" s="234">
        <f>N206-N205</f>
        <v>38.9</v>
      </c>
      <c r="O204" s="234">
        <f>O206-O205</f>
        <v>18</v>
      </c>
      <c r="P204" s="236">
        <f t="shared" si="114"/>
        <v>-20.9</v>
      </c>
      <c r="Q204" s="151">
        <f t="shared" si="115"/>
        <v>46.27249357326478</v>
      </c>
    </row>
    <row r="205" spans="1:17" s="108" customFormat="1" ht="22.5" customHeight="1" hidden="1">
      <c r="A205" s="81" t="s">
        <v>193</v>
      </c>
      <c r="B205" s="81"/>
      <c r="C205" s="234">
        <f aca="true" t="shared" si="124" ref="C205:E206">H205+M205</f>
        <v>0</v>
      </c>
      <c r="D205" s="234">
        <f t="shared" si="124"/>
        <v>0</v>
      </c>
      <c r="E205" s="234">
        <f t="shared" si="124"/>
        <v>0</v>
      </c>
      <c r="F205" s="236">
        <f t="shared" si="110"/>
        <v>0</v>
      </c>
      <c r="G205" s="151" t="e">
        <f t="shared" si="111"/>
        <v>#DIV/0!</v>
      </c>
      <c r="H205" s="356"/>
      <c r="I205" s="356"/>
      <c r="J205" s="356"/>
      <c r="K205" s="356">
        <f t="shared" si="112"/>
        <v>0</v>
      </c>
      <c r="L205" s="338" t="e">
        <f t="shared" si="113"/>
        <v>#DIV/0!</v>
      </c>
      <c r="M205" s="234"/>
      <c r="N205" s="234"/>
      <c r="O205" s="234"/>
      <c r="P205" s="236">
        <f t="shared" si="114"/>
        <v>0</v>
      </c>
      <c r="Q205" s="151" t="e">
        <f t="shared" si="115"/>
        <v>#DIV/0!</v>
      </c>
    </row>
    <row r="206" spans="1:17" s="108" customFormat="1" ht="22.5" customHeight="1">
      <c r="A206" s="81" t="s">
        <v>194</v>
      </c>
      <c r="B206" s="81"/>
      <c r="C206" s="234">
        <f t="shared" si="124"/>
        <v>27.8</v>
      </c>
      <c r="D206" s="234">
        <f t="shared" si="124"/>
        <v>38.9</v>
      </c>
      <c r="E206" s="234">
        <f t="shared" si="124"/>
        <v>18</v>
      </c>
      <c r="F206" s="236">
        <f t="shared" si="110"/>
        <v>-20.9</v>
      </c>
      <c r="G206" s="151">
        <f t="shared" si="111"/>
        <v>46.27249357326478</v>
      </c>
      <c r="H206" s="356"/>
      <c r="I206" s="356"/>
      <c r="J206" s="356"/>
      <c r="K206" s="356">
        <f t="shared" si="112"/>
        <v>0</v>
      </c>
      <c r="L206" s="338" t="e">
        <f t="shared" si="113"/>
        <v>#DIV/0!</v>
      </c>
      <c r="M206" s="234">
        <v>27.8</v>
      </c>
      <c r="N206" s="234">
        <v>38.9</v>
      </c>
      <c r="O206" s="234">
        <v>18</v>
      </c>
      <c r="P206" s="236">
        <f t="shared" si="114"/>
        <v>-20.9</v>
      </c>
      <c r="Q206" s="151">
        <f t="shared" si="115"/>
        <v>46.27249357326478</v>
      </c>
    </row>
    <row r="207" spans="1:17" s="108" customFormat="1" ht="22.5" customHeight="1" hidden="1">
      <c r="A207" s="81" t="s">
        <v>184</v>
      </c>
      <c r="B207" s="81" t="s">
        <v>183</v>
      </c>
      <c r="C207" s="234">
        <f>C209-C208</f>
        <v>0</v>
      </c>
      <c r="D207" s="234">
        <f>D209-D208</f>
        <v>0</v>
      </c>
      <c r="E207" s="234">
        <f>E209-E208</f>
        <v>0</v>
      </c>
      <c r="F207" s="236">
        <f t="shared" si="110"/>
        <v>0</v>
      </c>
      <c r="G207" s="151" t="e">
        <f t="shared" si="111"/>
        <v>#DIV/0!</v>
      </c>
      <c r="H207" s="234">
        <f>H209-H208</f>
        <v>0</v>
      </c>
      <c r="I207" s="234">
        <f>I209-I208</f>
        <v>0</v>
      </c>
      <c r="J207" s="234">
        <f>J209-J208</f>
        <v>0</v>
      </c>
      <c r="K207" s="236">
        <f t="shared" si="112"/>
        <v>0</v>
      </c>
      <c r="L207" s="151" t="e">
        <f t="shared" si="113"/>
        <v>#DIV/0!</v>
      </c>
      <c r="M207" s="234">
        <f>M209-M208</f>
        <v>0</v>
      </c>
      <c r="N207" s="234">
        <f>N209-N208</f>
        <v>0</v>
      </c>
      <c r="O207" s="234">
        <f>O209-O208</f>
        <v>0</v>
      </c>
      <c r="P207" s="236">
        <f t="shared" si="114"/>
        <v>0</v>
      </c>
      <c r="Q207" s="151" t="e">
        <f t="shared" si="115"/>
        <v>#DIV/0!</v>
      </c>
    </row>
    <row r="208" spans="1:17" s="108" customFormat="1" ht="22.5" customHeight="1" hidden="1">
      <c r="A208" s="81" t="s">
        <v>193</v>
      </c>
      <c r="B208" s="81"/>
      <c r="C208" s="234">
        <f aca="true" t="shared" si="125" ref="C208:E209">H208+M208</f>
        <v>0</v>
      </c>
      <c r="D208" s="234">
        <f t="shared" si="125"/>
        <v>0</v>
      </c>
      <c r="E208" s="234">
        <f t="shared" si="125"/>
        <v>0</v>
      </c>
      <c r="F208" s="236">
        <f t="shared" si="110"/>
        <v>0</v>
      </c>
      <c r="G208" s="151" t="e">
        <f t="shared" si="111"/>
        <v>#DIV/0!</v>
      </c>
      <c r="H208" s="236"/>
      <c r="I208" s="236"/>
      <c r="J208" s="236"/>
      <c r="K208" s="236">
        <f t="shared" si="112"/>
        <v>0</v>
      </c>
      <c r="L208" s="151" t="e">
        <f t="shared" si="113"/>
        <v>#DIV/0!</v>
      </c>
      <c r="M208" s="234"/>
      <c r="N208" s="234"/>
      <c r="O208" s="234"/>
      <c r="P208" s="236">
        <f t="shared" si="114"/>
        <v>0</v>
      </c>
      <c r="Q208" s="151" t="e">
        <f t="shared" si="115"/>
        <v>#DIV/0!</v>
      </c>
    </row>
    <row r="209" spans="1:17" s="108" customFormat="1" ht="22.5" customHeight="1" hidden="1">
      <c r="A209" s="81" t="s">
        <v>194</v>
      </c>
      <c r="B209" s="81"/>
      <c r="C209" s="234">
        <f t="shared" si="125"/>
        <v>0</v>
      </c>
      <c r="D209" s="234">
        <f t="shared" si="125"/>
        <v>0</v>
      </c>
      <c r="E209" s="234">
        <f t="shared" si="125"/>
        <v>0</v>
      </c>
      <c r="F209" s="236">
        <f t="shared" si="110"/>
        <v>0</v>
      </c>
      <c r="G209" s="151" t="e">
        <f t="shared" si="111"/>
        <v>#DIV/0!</v>
      </c>
      <c r="H209" s="203"/>
      <c r="I209" s="203"/>
      <c r="J209" s="203"/>
      <c r="K209" s="236">
        <f t="shared" si="112"/>
        <v>0</v>
      </c>
      <c r="L209" s="151" t="e">
        <f t="shared" si="113"/>
        <v>#DIV/0!</v>
      </c>
      <c r="M209" s="234"/>
      <c r="N209" s="234"/>
      <c r="O209" s="234"/>
      <c r="P209" s="236">
        <f t="shared" si="114"/>
        <v>0</v>
      </c>
      <c r="Q209" s="151" t="e">
        <f t="shared" si="115"/>
        <v>#DIV/0!</v>
      </c>
    </row>
    <row r="210" spans="1:17" s="108" customFormat="1" ht="22.5" customHeight="1" hidden="1">
      <c r="A210" s="81" t="s">
        <v>180</v>
      </c>
      <c r="B210" s="81" t="s">
        <v>179</v>
      </c>
      <c r="C210" s="234">
        <f>C212-C211</f>
        <v>0</v>
      </c>
      <c r="D210" s="234">
        <f>D212-D211</f>
        <v>0</v>
      </c>
      <c r="E210" s="234">
        <f>E212-E211</f>
        <v>0</v>
      </c>
      <c r="F210" s="236">
        <f t="shared" si="110"/>
        <v>0</v>
      </c>
      <c r="G210" s="151" t="e">
        <f t="shared" si="111"/>
        <v>#DIV/0!</v>
      </c>
      <c r="H210" s="234">
        <f>H212-H211</f>
        <v>0</v>
      </c>
      <c r="I210" s="234">
        <f>I212-I211</f>
        <v>0</v>
      </c>
      <c r="J210" s="234">
        <f>J212-J211</f>
        <v>0</v>
      </c>
      <c r="K210" s="236">
        <f t="shared" si="112"/>
        <v>0</v>
      </c>
      <c r="L210" s="151" t="e">
        <f t="shared" si="113"/>
        <v>#DIV/0!</v>
      </c>
      <c r="M210" s="234">
        <f>M212-M211</f>
        <v>0</v>
      </c>
      <c r="N210" s="234">
        <f>N212-N211</f>
        <v>0</v>
      </c>
      <c r="O210" s="234">
        <f>O212-O211</f>
        <v>0</v>
      </c>
      <c r="P210" s="236">
        <f t="shared" si="114"/>
        <v>0</v>
      </c>
      <c r="Q210" s="151" t="e">
        <f t="shared" si="115"/>
        <v>#DIV/0!</v>
      </c>
    </row>
    <row r="211" spans="1:17" s="108" customFormat="1" ht="22.5" customHeight="1" hidden="1">
      <c r="A211" s="81" t="s">
        <v>193</v>
      </c>
      <c r="B211" s="81"/>
      <c r="C211" s="234">
        <f aca="true" t="shared" si="126" ref="C211:E212">H211+M211</f>
        <v>0</v>
      </c>
      <c r="D211" s="234">
        <f t="shared" si="126"/>
        <v>0</v>
      </c>
      <c r="E211" s="234">
        <f t="shared" si="126"/>
        <v>0</v>
      </c>
      <c r="F211" s="236">
        <f t="shared" si="110"/>
        <v>0</v>
      </c>
      <c r="G211" s="151" t="e">
        <f t="shared" si="111"/>
        <v>#DIV/0!</v>
      </c>
      <c r="H211" s="236"/>
      <c r="I211" s="236"/>
      <c r="J211" s="236"/>
      <c r="K211" s="236">
        <f t="shared" si="112"/>
        <v>0</v>
      </c>
      <c r="L211" s="151" t="e">
        <f t="shared" si="113"/>
        <v>#DIV/0!</v>
      </c>
      <c r="M211" s="234"/>
      <c r="N211" s="234"/>
      <c r="O211" s="234"/>
      <c r="P211" s="236">
        <f t="shared" si="114"/>
        <v>0</v>
      </c>
      <c r="Q211" s="151" t="e">
        <f t="shared" si="115"/>
        <v>#DIV/0!</v>
      </c>
    </row>
    <row r="212" spans="1:17" s="108" customFormat="1" ht="22.5" customHeight="1" hidden="1">
      <c r="A212" s="81" t="s">
        <v>194</v>
      </c>
      <c r="B212" s="81"/>
      <c r="C212" s="234">
        <f t="shared" si="126"/>
        <v>0</v>
      </c>
      <c r="D212" s="234">
        <f t="shared" si="126"/>
        <v>0</v>
      </c>
      <c r="E212" s="234">
        <f t="shared" si="126"/>
        <v>0</v>
      </c>
      <c r="F212" s="236">
        <f t="shared" si="110"/>
        <v>0</v>
      </c>
      <c r="G212" s="151" t="e">
        <f t="shared" si="111"/>
        <v>#DIV/0!</v>
      </c>
      <c r="H212" s="236"/>
      <c r="I212" s="236"/>
      <c r="J212" s="236"/>
      <c r="K212" s="236">
        <f t="shared" si="112"/>
        <v>0</v>
      </c>
      <c r="L212" s="151" t="e">
        <f t="shared" si="113"/>
        <v>#DIV/0!</v>
      </c>
      <c r="M212" s="234"/>
      <c r="N212" s="234"/>
      <c r="O212" s="234"/>
      <c r="P212" s="236">
        <f t="shared" si="114"/>
        <v>0</v>
      </c>
      <c r="Q212" s="151" t="e">
        <f t="shared" si="115"/>
        <v>#DIV/0!</v>
      </c>
    </row>
    <row r="213" spans="1:17" s="108" customFormat="1" ht="22.5" customHeight="1" hidden="1">
      <c r="A213" s="81" t="s">
        <v>302</v>
      </c>
      <c r="B213" s="81" t="s">
        <v>301</v>
      </c>
      <c r="C213" s="234">
        <f>C215-C214</f>
        <v>0</v>
      </c>
      <c r="D213" s="234">
        <f>D215-D214</f>
        <v>0</v>
      </c>
      <c r="E213" s="234">
        <f>E215-E214</f>
        <v>0</v>
      </c>
      <c r="F213" s="236">
        <f t="shared" si="110"/>
        <v>0</v>
      </c>
      <c r="G213" s="151" t="e">
        <f t="shared" si="111"/>
        <v>#DIV/0!</v>
      </c>
      <c r="H213" s="234">
        <f>H215-H214</f>
        <v>0</v>
      </c>
      <c r="I213" s="234">
        <f>I215-I214</f>
        <v>0</v>
      </c>
      <c r="J213" s="234">
        <f>J215-J214</f>
        <v>0</v>
      </c>
      <c r="K213" s="236">
        <f t="shared" si="112"/>
        <v>0</v>
      </c>
      <c r="L213" s="151" t="e">
        <f t="shared" si="113"/>
        <v>#DIV/0!</v>
      </c>
      <c r="M213" s="234">
        <f>M215-M214</f>
        <v>0</v>
      </c>
      <c r="N213" s="234">
        <f>N215-N214</f>
        <v>0</v>
      </c>
      <c r="O213" s="234">
        <f>O215-O214</f>
        <v>0</v>
      </c>
      <c r="P213" s="236">
        <f t="shared" si="114"/>
        <v>0</v>
      </c>
      <c r="Q213" s="151" t="e">
        <f t="shared" si="115"/>
        <v>#DIV/0!</v>
      </c>
    </row>
    <row r="214" spans="1:17" s="108" customFormat="1" ht="22.5" customHeight="1" hidden="1">
      <c r="A214" s="81" t="s">
        <v>193</v>
      </c>
      <c r="B214" s="81"/>
      <c r="C214" s="234">
        <f aca="true" t="shared" si="127" ref="C214:E215">H214+M214</f>
        <v>0</v>
      </c>
      <c r="D214" s="234">
        <f t="shared" si="127"/>
        <v>0</v>
      </c>
      <c r="E214" s="234">
        <f t="shared" si="127"/>
        <v>0</v>
      </c>
      <c r="F214" s="236">
        <f t="shared" si="110"/>
        <v>0</v>
      </c>
      <c r="G214" s="151" t="e">
        <f t="shared" si="111"/>
        <v>#DIV/0!</v>
      </c>
      <c r="H214" s="236"/>
      <c r="I214" s="236"/>
      <c r="J214" s="236"/>
      <c r="K214" s="236">
        <f t="shared" si="112"/>
        <v>0</v>
      </c>
      <c r="L214" s="151" t="e">
        <f t="shared" si="113"/>
        <v>#DIV/0!</v>
      </c>
      <c r="M214" s="234"/>
      <c r="N214" s="234"/>
      <c r="O214" s="234"/>
      <c r="P214" s="236">
        <f t="shared" si="114"/>
        <v>0</v>
      </c>
      <c r="Q214" s="151" t="e">
        <f t="shared" si="115"/>
        <v>#DIV/0!</v>
      </c>
    </row>
    <row r="215" spans="1:17" s="108" customFormat="1" ht="22.5" customHeight="1" hidden="1">
      <c r="A215" s="81" t="s">
        <v>194</v>
      </c>
      <c r="B215" s="81"/>
      <c r="C215" s="234">
        <f t="shared" si="127"/>
        <v>0</v>
      </c>
      <c r="D215" s="234">
        <f t="shared" si="127"/>
        <v>0</v>
      </c>
      <c r="E215" s="234">
        <f t="shared" si="127"/>
        <v>0</v>
      </c>
      <c r="F215" s="236">
        <f t="shared" si="110"/>
        <v>0</v>
      </c>
      <c r="G215" s="151" t="e">
        <f t="shared" si="111"/>
        <v>#DIV/0!</v>
      </c>
      <c r="H215" s="236"/>
      <c r="I215" s="236"/>
      <c r="J215" s="236"/>
      <c r="K215" s="236">
        <f t="shared" si="112"/>
        <v>0</v>
      </c>
      <c r="L215" s="151" t="e">
        <f t="shared" si="113"/>
        <v>#DIV/0!</v>
      </c>
      <c r="M215" s="234"/>
      <c r="N215" s="234"/>
      <c r="O215" s="234"/>
      <c r="P215" s="236">
        <f t="shared" si="114"/>
        <v>0</v>
      </c>
      <c r="Q215" s="151" t="e">
        <f t="shared" si="115"/>
        <v>#DIV/0!</v>
      </c>
    </row>
    <row r="216" spans="1:17" s="108" customFormat="1" ht="22.5" customHeight="1" hidden="1">
      <c r="A216" s="81" t="s">
        <v>304</v>
      </c>
      <c r="B216" s="81" t="s">
        <v>303</v>
      </c>
      <c r="C216" s="234">
        <f>C218-C217</f>
        <v>0</v>
      </c>
      <c r="D216" s="234">
        <f>D218-D217</f>
        <v>0</v>
      </c>
      <c r="E216" s="234">
        <f>E218-E217</f>
        <v>0</v>
      </c>
      <c r="F216" s="236">
        <f t="shared" si="110"/>
        <v>0</v>
      </c>
      <c r="G216" s="151" t="e">
        <f t="shared" si="111"/>
        <v>#DIV/0!</v>
      </c>
      <c r="H216" s="234">
        <f>H218-H217</f>
        <v>0</v>
      </c>
      <c r="I216" s="234">
        <f>I218-I217</f>
        <v>0</v>
      </c>
      <c r="J216" s="234">
        <f>J218-J217</f>
        <v>0</v>
      </c>
      <c r="K216" s="236">
        <f t="shared" si="112"/>
        <v>0</v>
      </c>
      <c r="L216" s="151" t="e">
        <f t="shared" si="113"/>
        <v>#DIV/0!</v>
      </c>
      <c r="M216" s="234">
        <f>M218-M217</f>
        <v>0</v>
      </c>
      <c r="N216" s="234">
        <f>N218-N217</f>
        <v>0</v>
      </c>
      <c r="O216" s="234">
        <f>O218-O217</f>
        <v>0</v>
      </c>
      <c r="P216" s="236">
        <f t="shared" si="114"/>
        <v>0</v>
      </c>
      <c r="Q216" s="151" t="e">
        <f t="shared" si="115"/>
        <v>#DIV/0!</v>
      </c>
    </row>
    <row r="217" spans="1:17" s="108" customFormat="1" ht="22.5" customHeight="1" hidden="1">
      <c r="A217" s="81" t="s">
        <v>193</v>
      </c>
      <c r="B217" s="81"/>
      <c r="C217" s="234">
        <f aca="true" t="shared" si="128" ref="C217:E218">H217+M217</f>
        <v>0</v>
      </c>
      <c r="D217" s="234">
        <f t="shared" si="128"/>
        <v>0</v>
      </c>
      <c r="E217" s="234">
        <f t="shared" si="128"/>
        <v>0</v>
      </c>
      <c r="F217" s="236">
        <f t="shared" si="110"/>
        <v>0</v>
      </c>
      <c r="G217" s="151" t="e">
        <f t="shared" si="111"/>
        <v>#DIV/0!</v>
      </c>
      <c r="H217" s="236"/>
      <c r="I217" s="236"/>
      <c r="J217" s="236"/>
      <c r="K217" s="236">
        <f t="shared" si="112"/>
        <v>0</v>
      </c>
      <c r="L217" s="151" t="e">
        <f t="shared" si="113"/>
        <v>#DIV/0!</v>
      </c>
      <c r="M217" s="234"/>
      <c r="N217" s="234"/>
      <c r="O217" s="234"/>
      <c r="P217" s="236">
        <f t="shared" si="114"/>
        <v>0</v>
      </c>
      <c r="Q217" s="151" t="e">
        <f t="shared" si="115"/>
        <v>#DIV/0!</v>
      </c>
    </row>
    <row r="218" spans="1:17" s="108" customFormat="1" ht="22.5" customHeight="1" hidden="1">
      <c r="A218" s="81" t="s">
        <v>194</v>
      </c>
      <c r="B218" s="81"/>
      <c r="C218" s="234">
        <f t="shared" si="128"/>
        <v>0</v>
      </c>
      <c r="D218" s="234">
        <f t="shared" si="128"/>
        <v>0</v>
      </c>
      <c r="E218" s="234">
        <f t="shared" si="128"/>
        <v>0</v>
      </c>
      <c r="F218" s="236">
        <f t="shared" si="110"/>
        <v>0</v>
      </c>
      <c r="G218" s="151" t="e">
        <f t="shared" si="111"/>
        <v>#DIV/0!</v>
      </c>
      <c r="H218" s="236"/>
      <c r="I218" s="236"/>
      <c r="J218" s="236"/>
      <c r="K218" s="236">
        <f t="shared" si="112"/>
        <v>0</v>
      </c>
      <c r="L218" s="151" t="e">
        <f t="shared" si="113"/>
        <v>#DIV/0!</v>
      </c>
      <c r="M218" s="234"/>
      <c r="N218" s="234"/>
      <c r="O218" s="234"/>
      <c r="P218" s="236">
        <f t="shared" si="114"/>
        <v>0</v>
      </c>
      <c r="Q218" s="151" t="e">
        <f t="shared" si="115"/>
        <v>#DIV/0!</v>
      </c>
    </row>
    <row r="219" spans="1:17" s="108" customFormat="1" ht="22.5" customHeight="1" hidden="1">
      <c r="A219" s="81" t="s">
        <v>306</v>
      </c>
      <c r="B219" s="81" t="s">
        <v>305</v>
      </c>
      <c r="C219" s="234">
        <f>C221-C220</f>
        <v>0</v>
      </c>
      <c r="D219" s="234">
        <f>D221-D220</f>
        <v>0</v>
      </c>
      <c r="E219" s="234">
        <f>E221-E220</f>
        <v>0</v>
      </c>
      <c r="F219" s="236">
        <f t="shared" si="110"/>
        <v>0</v>
      </c>
      <c r="G219" s="151" t="e">
        <f t="shared" si="111"/>
        <v>#DIV/0!</v>
      </c>
      <c r="H219" s="234">
        <f>H221-H220</f>
        <v>0</v>
      </c>
      <c r="I219" s="234">
        <f>I221-I220</f>
        <v>0</v>
      </c>
      <c r="J219" s="234">
        <f>J221-J220</f>
        <v>0</v>
      </c>
      <c r="K219" s="236">
        <f t="shared" si="112"/>
        <v>0</v>
      </c>
      <c r="L219" s="151" t="e">
        <f t="shared" si="113"/>
        <v>#DIV/0!</v>
      </c>
      <c r="M219" s="234">
        <f>M221-M220</f>
        <v>0</v>
      </c>
      <c r="N219" s="234">
        <f>N221-N220</f>
        <v>0</v>
      </c>
      <c r="O219" s="234">
        <f>O221-O220</f>
        <v>0</v>
      </c>
      <c r="P219" s="236">
        <f t="shared" si="114"/>
        <v>0</v>
      </c>
      <c r="Q219" s="151" t="e">
        <f t="shared" si="115"/>
        <v>#DIV/0!</v>
      </c>
    </row>
    <row r="220" spans="1:17" s="108" customFormat="1" ht="22.5" customHeight="1" hidden="1">
      <c r="A220" s="81" t="s">
        <v>193</v>
      </c>
      <c r="B220" s="81"/>
      <c r="C220" s="234">
        <f aca="true" t="shared" si="129" ref="C220:E221">H220+M220</f>
        <v>0</v>
      </c>
      <c r="D220" s="234">
        <f t="shared" si="129"/>
        <v>0</v>
      </c>
      <c r="E220" s="234">
        <f t="shared" si="129"/>
        <v>0</v>
      </c>
      <c r="F220" s="236">
        <f t="shared" si="110"/>
        <v>0</v>
      </c>
      <c r="G220" s="151" t="e">
        <f t="shared" si="111"/>
        <v>#DIV/0!</v>
      </c>
      <c r="H220" s="236"/>
      <c r="I220" s="236"/>
      <c r="J220" s="236"/>
      <c r="K220" s="236">
        <f t="shared" si="112"/>
        <v>0</v>
      </c>
      <c r="L220" s="151" t="e">
        <f t="shared" si="113"/>
        <v>#DIV/0!</v>
      </c>
      <c r="M220" s="234"/>
      <c r="N220" s="234"/>
      <c r="O220" s="234"/>
      <c r="P220" s="236">
        <f t="shared" si="114"/>
        <v>0</v>
      </c>
      <c r="Q220" s="151" t="e">
        <f t="shared" si="115"/>
        <v>#DIV/0!</v>
      </c>
    </row>
    <row r="221" spans="1:17" s="108" customFormat="1" ht="22.5" customHeight="1" hidden="1">
      <c r="A221" s="81" t="s">
        <v>194</v>
      </c>
      <c r="B221" s="81"/>
      <c r="C221" s="234">
        <f t="shared" si="129"/>
        <v>0</v>
      </c>
      <c r="D221" s="234">
        <f t="shared" si="129"/>
        <v>0</v>
      </c>
      <c r="E221" s="234">
        <f t="shared" si="129"/>
        <v>0</v>
      </c>
      <c r="F221" s="236">
        <f t="shared" si="110"/>
        <v>0</v>
      </c>
      <c r="G221" s="151" t="e">
        <f t="shared" si="111"/>
        <v>#DIV/0!</v>
      </c>
      <c r="H221" s="236"/>
      <c r="I221" s="236"/>
      <c r="J221" s="236"/>
      <c r="K221" s="236">
        <f t="shared" si="112"/>
        <v>0</v>
      </c>
      <c r="L221" s="151" t="e">
        <f t="shared" si="113"/>
        <v>#DIV/0!</v>
      </c>
      <c r="M221" s="234"/>
      <c r="N221" s="234"/>
      <c r="O221" s="234"/>
      <c r="P221" s="236">
        <f t="shared" si="114"/>
        <v>0</v>
      </c>
      <c r="Q221" s="151" t="e">
        <f t="shared" si="115"/>
        <v>#DIV/0!</v>
      </c>
    </row>
    <row r="222" spans="1:17" s="108" customFormat="1" ht="22.5" customHeight="1" hidden="1">
      <c r="A222" s="81" t="s">
        <v>182</v>
      </c>
      <c r="B222" s="81" t="s">
        <v>181</v>
      </c>
      <c r="C222" s="234">
        <f>C224-C223</f>
        <v>0</v>
      </c>
      <c r="D222" s="234">
        <f>D224-D223</f>
        <v>0</v>
      </c>
      <c r="E222" s="234">
        <f>E224-E223</f>
        <v>0</v>
      </c>
      <c r="F222" s="236">
        <f t="shared" si="110"/>
        <v>0</v>
      </c>
      <c r="G222" s="151" t="e">
        <f t="shared" si="111"/>
        <v>#DIV/0!</v>
      </c>
      <c r="H222" s="234">
        <f>H224-H223</f>
        <v>0</v>
      </c>
      <c r="I222" s="234">
        <f>I224-I223</f>
        <v>0</v>
      </c>
      <c r="J222" s="234">
        <f>J224-J223</f>
        <v>0</v>
      </c>
      <c r="K222" s="236">
        <f t="shared" si="112"/>
        <v>0</v>
      </c>
      <c r="L222" s="151" t="e">
        <f t="shared" si="113"/>
        <v>#DIV/0!</v>
      </c>
      <c r="M222" s="234">
        <f>M224-M223</f>
        <v>0</v>
      </c>
      <c r="N222" s="234">
        <f>N224-N223</f>
        <v>0</v>
      </c>
      <c r="O222" s="234">
        <f>O224-O223</f>
        <v>0</v>
      </c>
      <c r="P222" s="236">
        <f t="shared" si="114"/>
        <v>0</v>
      </c>
      <c r="Q222" s="151" t="e">
        <f t="shared" si="115"/>
        <v>#DIV/0!</v>
      </c>
    </row>
    <row r="223" spans="1:17" s="108" customFormat="1" ht="22.5" customHeight="1" hidden="1">
      <c r="A223" s="81" t="s">
        <v>193</v>
      </c>
      <c r="B223" s="81"/>
      <c r="C223" s="234">
        <f aca="true" t="shared" si="130" ref="C223:E224">H223+M223</f>
        <v>0</v>
      </c>
      <c r="D223" s="234">
        <f t="shared" si="130"/>
        <v>0</v>
      </c>
      <c r="E223" s="234">
        <f t="shared" si="130"/>
        <v>0</v>
      </c>
      <c r="F223" s="236">
        <f t="shared" si="110"/>
        <v>0</v>
      </c>
      <c r="G223" s="151" t="e">
        <f t="shared" si="111"/>
        <v>#DIV/0!</v>
      </c>
      <c r="H223" s="236"/>
      <c r="I223" s="236"/>
      <c r="J223" s="236"/>
      <c r="K223" s="236">
        <f t="shared" si="112"/>
        <v>0</v>
      </c>
      <c r="L223" s="151" t="e">
        <f t="shared" si="113"/>
        <v>#DIV/0!</v>
      </c>
      <c r="M223" s="234"/>
      <c r="N223" s="234"/>
      <c r="O223" s="234"/>
      <c r="P223" s="236">
        <f t="shared" si="114"/>
        <v>0</v>
      </c>
      <c r="Q223" s="151" t="e">
        <f t="shared" si="115"/>
        <v>#DIV/0!</v>
      </c>
    </row>
    <row r="224" spans="1:17" s="108" customFormat="1" ht="22.5" customHeight="1" hidden="1">
      <c r="A224" s="81" t="s">
        <v>194</v>
      </c>
      <c r="B224" s="81"/>
      <c r="C224" s="234">
        <f t="shared" si="130"/>
        <v>0</v>
      </c>
      <c r="D224" s="234">
        <f t="shared" si="130"/>
        <v>0</v>
      </c>
      <c r="E224" s="234">
        <f t="shared" si="130"/>
        <v>0</v>
      </c>
      <c r="F224" s="236">
        <f t="shared" si="110"/>
        <v>0</v>
      </c>
      <c r="G224" s="151" t="e">
        <f t="shared" si="111"/>
        <v>#DIV/0!</v>
      </c>
      <c r="H224" s="236"/>
      <c r="I224" s="236"/>
      <c r="J224" s="236"/>
      <c r="K224" s="236">
        <f t="shared" si="112"/>
        <v>0</v>
      </c>
      <c r="L224" s="151" t="e">
        <f t="shared" si="113"/>
        <v>#DIV/0!</v>
      </c>
      <c r="M224" s="234"/>
      <c r="N224" s="234"/>
      <c r="O224" s="234"/>
      <c r="P224" s="236">
        <f t="shared" si="114"/>
        <v>0</v>
      </c>
      <c r="Q224" s="151" t="e">
        <f t="shared" si="115"/>
        <v>#DIV/0!</v>
      </c>
    </row>
    <row r="225" spans="1:17" s="107" customFormat="1" ht="22.5" customHeight="1">
      <c r="A225" s="80" t="s">
        <v>190</v>
      </c>
      <c r="B225" s="80"/>
      <c r="C225" s="233">
        <f>C227-C226</f>
        <v>24625.4</v>
      </c>
      <c r="D225" s="233">
        <f>D227-D226</f>
        <v>65553.4</v>
      </c>
      <c r="E225" s="233">
        <f>E227-E226</f>
        <v>29930.237</v>
      </c>
      <c r="F225" s="210">
        <f t="shared" si="110"/>
        <v>-35623.16299999999</v>
      </c>
      <c r="G225" s="150">
        <f t="shared" si="111"/>
        <v>45.657795019022664</v>
      </c>
      <c r="H225" s="233">
        <f>H227-H226</f>
        <v>23563</v>
      </c>
      <c r="I225" s="233">
        <f>I227-I226</f>
        <v>53968</v>
      </c>
      <c r="J225" s="233">
        <f>J227-J226</f>
        <v>22220.556</v>
      </c>
      <c r="K225" s="210">
        <f t="shared" si="112"/>
        <v>-31747.444</v>
      </c>
      <c r="L225" s="150">
        <f t="shared" si="113"/>
        <v>41.1735769344797</v>
      </c>
      <c r="M225" s="233">
        <f>M227-M226</f>
        <v>1062.4</v>
      </c>
      <c r="N225" s="233">
        <f>N227-N226</f>
        <v>11585.4</v>
      </c>
      <c r="O225" s="233">
        <f>O227-O226</f>
        <v>7709.681</v>
      </c>
      <c r="P225" s="210">
        <f t="shared" si="114"/>
        <v>-3875.719</v>
      </c>
      <c r="Q225" s="150">
        <f t="shared" si="115"/>
        <v>66.54652407340272</v>
      </c>
    </row>
    <row r="226" spans="1:17" s="107" customFormat="1" ht="22.5" customHeight="1" hidden="1">
      <c r="A226" s="80" t="s">
        <v>193</v>
      </c>
      <c r="B226" s="80"/>
      <c r="C226" s="233">
        <f aca="true" t="shared" si="131" ref="C226:E227">H226+M226</f>
        <v>0</v>
      </c>
      <c r="D226" s="233">
        <f t="shared" si="131"/>
        <v>0</v>
      </c>
      <c r="E226" s="233">
        <f t="shared" si="131"/>
        <v>0</v>
      </c>
      <c r="F226" s="210">
        <f t="shared" si="110"/>
        <v>0</v>
      </c>
      <c r="G226" s="150" t="e">
        <f t="shared" si="111"/>
        <v>#DIV/0!</v>
      </c>
      <c r="H226" s="210"/>
      <c r="I226" s="210"/>
      <c r="J226" s="210"/>
      <c r="K226" s="210">
        <f t="shared" si="112"/>
        <v>0</v>
      </c>
      <c r="L226" s="150" t="e">
        <f t="shared" si="113"/>
        <v>#DIV/0!</v>
      </c>
      <c r="M226" s="233"/>
      <c r="N226" s="233"/>
      <c r="O226" s="233"/>
      <c r="P226" s="210">
        <f t="shared" si="114"/>
        <v>0</v>
      </c>
      <c r="Q226" s="150" t="e">
        <f t="shared" si="115"/>
        <v>#DIV/0!</v>
      </c>
    </row>
    <row r="227" spans="1:17" s="107" customFormat="1" ht="22.5" customHeight="1">
      <c r="A227" s="80" t="s">
        <v>194</v>
      </c>
      <c r="B227" s="80"/>
      <c r="C227" s="233">
        <f t="shared" si="131"/>
        <v>24625.4</v>
      </c>
      <c r="D227" s="233">
        <f t="shared" si="131"/>
        <v>65553.4</v>
      </c>
      <c r="E227" s="233">
        <f t="shared" si="131"/>
        <v>29930.237</v>
      </c>
      <c r="F227" s="210">
        <f t="shared" si="110"/>
        <v>-35623.16299999999</v>
      </c>
      <c r="G227" s="150">
        <f t="shared" si="111"/>
        <v>45.657795019022664</v>
      </c>
      <c r="H227" s="210">
        <v>23563</v>
      </c>
      <c r="I227" s="210">
        <v>53968</v>
      </c>
      <c r="J227" s="210">
        <v>22220.556</v>
      </c>
      <c r="K227" s="210">
        <f t="shared" si="112"/>
        <v>-31747.444</v>
      </c>
      <c r="L227" s="150">
        <f t="shared" si="113"/>
        <v>41.1735769344797</v>
      </c>
      <c r="M227" s="233">
        <v>1062.4</v>
      </c>
      <c r="N227" s="233">
        <v>11585.4</v>
      </c>
      <c r="O227" s="233">
        <v>7709.681</v>
      </c>
      <c r="P227" s="210">
        <f t="shared" si="114"/>
        <v>-3875.719</v>
      </c>
      <c r="Q227" s="150">
        <f t="shared" si="115"/>
        <v>66.54652407340272</v>
      </c>
    </row>
    <row r="228" spans="1:17" s="108" customFormat="1" ht="22.5" customHeight="1">
      <c r="A228" s="81"/>
      <c r="B228" s="109"/>
      <c r="C228" s="234"/>
      <c r="D228" s="234"/>
      <c r="E228" s="236"/>
      <c r="F228" s="210"/>
      <c r="G228" s="150"/>
      <c r="H228" s="236"/>
      <c r="I228" s="236"/>
      <c r="J228" s="236"/>
      <c r="K228" s="210"/>
      <c r="L228" s="150"/>
      <c r="M228" s="234"/>
      <c r="N228" s="234"/>
      <c r="O228" s="234"/>
      <c r="P228" s="210"/>
      <c r="Q228" s="150"/>
    </row>
    <row r="229" spans="1:17" s="108" customFormat="1" ht="22.5" customHeight="1">
      <c r="A229" s="75" t="s">
        <v>6</v>
      </c>
      <c r="B229" s="109"/>
      <c r="C229" s="233">
        <f>C231-C230</f>
        <v>2980776.8</v>
      </c>
      <c r="D229" s="233">
        <f>D231-D230</f>
        <v>5691109.444</v>
      </c>
      <c r="E229" s="233">
        <f>E231-E230</f>
        <v>5105953.906</v>
      </c>
      <c r="F229" s="210">
        <f aca="true" t="shared" si="132" ref="F229:F264">E229-D229</f>
        <v>-585155.5379999997</v>
      </c>
      <c r="G229" s="150">
        <f aca="true" t="shared" si="133" ref="G229:G264">E229/D229*100</f>
        <v>89.71807617200342</v>
      </c>
      <c r="H229" s="233">
        <f>H231-H230</f>
        <v>2449172</v>
      </c>
      <c r="I229" s="233">
        <f>I231-I230</f>
        <v>4790467.801999999</v>
      </c>
      <c r="J229" s="233">
        <f>J231-J230</f>
        <v>4379023.3610000005</v>
      </c>
      <c r="K229" s="210">
        <f aca="true" t="shared" si="134" ref="K229:K264">J229-I229</f>
        <v>-411444.4409999987</v>
      </c>
      <c r="L229" s="150">
        <f aca="true" t="shared" si="135" ref="L229:L264">J229/I229*100</f>
        <v>91.4111845021018</v>
      </c>
      <c r="M229" s="233">
        <f>M231-M230</f>
        <v>531604.8</v>
      </c>
      <c r="N229" s="233">
        <f>N231-N230</f>
        <v>900641.642</v>
      </c>
      <c r="O229" s="233">
        <f>O231-O230</f>
        <v>726930.5449999998</v>
      </c>
      <c r="P229" s="210">
        <f aca="true" t="shared" si="136" ref="P229:P264">O229-N229</f>
        <v>-173711.09700000018</v>
      </c>
      <c r="Q229" s="150">
        <f aca="true" t="shared" si="137" ref="Q229:Q264">O229/N229*100</f>
        <v>80.71251773188607</v>
      </c>
    </row>
    <row r="230" spans="1:17" s="107" customFormat="1" ht="22.5" customHeight="1">
      <c r="A230" s="80" t="s">
        <v>193</v>
      </c>
      <c r="B230" s="79"/>
      <c r="C230" s="353">
        <f aca="true" t="shared" si="138" ref="C230:E231">C233+C263</f>
        <v>0</v>
      </c>
      <c r="D230" s="233">
        <f t="shared" si="138"/>
        <v>35</v>
      </c>
      <c r="E230" s="233">
        <f t="shared" si="138"/>
        <v>64.93</v>
      </c>
      <c r="F230" s="210">
        <f t="shared" si="132"/>
        <v>29.930000000000007</v>
      </c>
      <c r="G230" s="150">
        <f t="shared" si="133"/>
        <v>185.51428571428573</v>
      </c>
      <c r="H230" s="353">
        <f aca="true" t="shared" si="139" ref="H230:J231">H233+H263</f>
        <v>0</v>
      </c>
      <c r="I230" s="353">
        <f t="shared" si="139"/>
        <v>0</v>
      </c>
      <c r="J230" s="353">
        <f t="shared" si="139"/>
        <v>0</v>
      </c>
      <c r="K230" s="345">
        <f t="shared" si="134"/>
        <v>0</v>
      </c>
      <c r="L230" s="342" t="e">
        <f t="shared" si="135"/>
        <v>#DIV/0!</v>
      </c>
      <c r="M230" s="353">
        <f aca="true" t="shared" si="140" ref="M230:O231">M233+M263</f>
        <v>0</v>
      </c>
      <c r="N230" s="233">
        <f t="shared" si="140"/>
        <v>35</v>
      </c>
      <c r="O230" s="233">
        <f t="shared" si="140"/>
        <v>64.93</v>
      </c>
      <c r="P230" s="210">
        <f t="shared" si="136"/>
        <v>29.930000000000007</v>
      </c>
      <c r="Q230" s="150">
        <f t="shared" si="137"/>
        <v>185.51428571428573</v>
      </c>
    </row>
    <row r="231" spans="1:17" s="107" customFormat="1" ht="22.5" customHeight="1">
      <c r="A231" s="80" t="s">
        <v>194</v>
      </c>
      <c r="B231" s="80"/>
      <c r="C231" s="233">
        <f t="shared" si="138"/>
        <v>2980776.8</v>
      </c>
      <c r="D231" s="233">
        <f t="shared" si="138"/>
        <v>5691144.444</v>
      </c>
      <c r="E231" s="233">
        <f t="shared" si="138"/>
        <v>5106018.836</v>
      </c>
      <c r="F231" s="210">
        <f t="shared" si="132"/>
        <v>-585125.608</v>
      </c>
      <c r="G231" s="150">
        <f t="shared" si="133"/>
        <v>89.71866530963065</v>
      </c>
      <c r="H231" s="233">
        <f t="shared" si="139"/>
        <v>2449172</v>
      </c>
      <c r="I231" s="233">
        <f t="shared" si="139"/>
        <v>4790467.801999999</v>
      </c>
      <c r="J231" s="233">
        <f t="shared" si="139"/>
        <v>4379023.3610000005</v>
      </c>
      <c r="K231" s="210">
        <f t="shared" si="134"/>
        <v>-411444.4409999987</v>
      </c>
      <c r="L231" s="150">
        <f t="shared" si="135"/>
        <v>91.4111845021018</v>
      </c>
      <c r="M231" s="233">
        <f t="shared" si="140"/>
        <v>531604.8</v>
      </c>
      <c r="N231" s="233">
        <f t="shared" si="140"/>
        <v>900676.642</v>
      </c>
      <c r="O231" s="233">
        <f t="shared" si="140"/>
        <v>726995.4749999999</v>
      </c>
      <c r="P231" s="210">
        <f t="shared" si="136"/>
        <v>-173681.16700000013</v>
      </c>
      <c r="Q231" s="150">
        <f t="shared" si="137"/>
        <v>80.7165902943445</v>
      </c>
    </row>
    <row r="232" spans="1:17" s="107" customFormat="1" ht="22.5" customHeight="1">
      <c r="A232" s="80" t="s">
        <v>189</v>
      </c>
      <c r="B232" s="80"/>
      <c r="C232" s="233">
        <f>C234-C233</f>
        <v>2457789.5</v>
      </c>
      <c r="D232" s="233">
        <f>D234-D233</f>
        <v>5129616.106</v>
      </c>
      <c r="E232" s="233">
        <f>E234-E233</f>
        <v>4765066.723</v>
      </c>
      <c r="F232" s="210">
        <f t="shared" si="132"/>
        <v>-364549.38299999945</v>
      </c>
      <c r="G232" s="150">
        <f t="shared" si="133"/>
        <v>92.89324238955048</v>
      </c>
      <c r="H232" s="233">
        <f>H234-H233</f>
        <v>1951125.6</v>
      </c>
      <c r="I232" s="233">
        <f>I234-I233</f>
        <v>4279275.1</v>
      </c>
      <c r="J232" s="233">
        <f>J234-J233</f>
        <v>4077056.464</v>
      </c>
      <c r="K232" s="210">
        <f t="shared" si="134"/>
        <v>-202218.63599999947</v>
      </c>
      <c r="L232" s="150">
        <f t="shared" si="135"/>
        <v>95.2744651541566</v>
      </c>
      <c r="M232" s="233">
        <f>M234-M233</f>
        <v>506663.9</v>
      </c>
      <c r="N232" s="233">
        <f>N234-N233</f>
        <v>850341.0059999999</v>
      </c>
      <c r="O232" s="233">
        <f>O234-O233</f>
        <v>688010.2589999998</v>
      </c>
      <c r="P232" s="210">
        <f t="shared" si="136"/>
        <v>-162330.7470000001</v>
      </c>
      <c r="Q232" s="150">
        <f t="shared" si="137"/>
        <v>80.9099236830171</v>
      </c>
    </row>
    <row r="233" spans="1:17" s="107" customFormat="1" ht="22.5" customHeight="1">
      <c r="A233" s="80" t="s">
        <v>193</v>
      </c>
      <c r="B233" s="80"/>
      <c r="C233" s="353">
        <f aca="true" t="shared" si="141" ref="C233:E234">C236+C239+C242+C245+C248+C251+C254+C257+C260</f>
        <v>0</v>
      </c>
      <c r="D233" s="233">
        <f t="shared" si="141"/>
        <v>35</v>
      </c>
      <c r="E233" s="233">
        <f t="shared" si="141"/>
        <v>64.93</v>
      </c>
      <c r="F233" s="210">
        <f t="shared" si="132"/>
        <v>29.930000000000007</v>
      </c>
      <c r="G233" s="150">
        <f t="shared" si="133"/>
        <v>185.51428571428573</v>
      </c>
      <c r="H233" s="353">
        <f aca="true" t="shared" si="142" ref="H233:J234">H236+H239+H242+H245+H248+H251+H254+H257+H260</f>
        <v>0</v>
      </c>
      <c r="I233" s="353">
        <f t="shared" si="142"/>
        <v>0</v>
      </c>
      <c r="J233" s="353">
        <f t="shared" si="142"/>
        <v>0</v>
      </c>
      <c r="K233" s="345">
        <f t="shared" si="134"/>
        <v>0</v>
      </c>
      <c r="L233" s="342" t="e">
        <f t="shared" si="135"/>
        <v>#DIV/0!</v>
      </c>
      <c r="M233" s="353">
        <f aca="true" t="shared" si="143" ref="M233:O234">M236+M239+M242+M245+M248+M251+M254+M257+M260</f>
        <v>0</v>
      </c>
      <c r="N233" s="233">
        <f t="shared" si="143"/>
        <v>35</v>
      </c>
      <c r="O233" s="233">
        <f t="shared" si="143"/>
        <v>64.93</v>
      </c>
      <c r="P233" s="210">
        <f t="shared" si="136"/>
        <v>29.930000000000007</v>
      </c>
      <c r="Q233" s="150">
        <f t="shared" si="137"/>
        <v>185.51428571428573</v>
      </c>
    </row>
    <row r="234" spans="1:17" s="107" customFormat="1" ht="22.5" customHeight="1">
      <c r="A234" s="80" t="s">
        <v>194</v>
      </c>
      <c r="B234" s="80"/>
      <c r="C234" s="233">
        <f t="shared" si="141"/>
        <v>2457789.5</v>
      </c>
      <c r="D234" s="233">
        <f t="shared" si="141"/>
        <v>5129651.106</v>
      </c>
      <c r="E234" s="233">
        <f t="shared" si="141"/>
        <v>4765131.653</v>
      </c>
      <c r="F234" s="210">
        <f t="shared" si="132"/>
        <v>-364519.45299999975</v>
      </c>
      <c r="G234" s="150">
        <f t="shared" si="133"/>
        <v>92.89387434998002</v>
      </c>
      <c r="H234" s="233">
        <f t="shared" si="142"/>
        <v>1951125.6</v>
      </c>
      <c r="I234" s="233">
        <f t="shared" si="142"/>
        <v>4279275.1</v>
      </c>
      <c r="J234" s="233">
        <f t="shared" si="142"/>
        <v>4077056.464</v>
      </c>
      <c r="K234" s="210">
        <f t="shared" si="134"/>
        <v>-202218.63599999947</v>
      </c>
      <c r="L234" s="150">
        <f t="shared" si="135"/>
        <v>95.2744651541566</v>
      </c>
      <c r="M234" s="233">
        <f t="shared" si="143"/>
        <v>506663.9</v>
      </c>
      <c r="N234" s="233">
        <f t="shared" si="143"/>
        <v>850376.0059999999</v>
      </c>
      <c r="O234" s="233">
        <f t="shared" si="143"/>
        <v>688075.1889999999</v>
      </c>
      <c r="P234" s="210">
        <f t="shared" si="136"/>
        <v>-162300.81700000004</v>
      </c>
      <c r="Q234" s="150">
        <f t="shared" si="137"/>
        <v>80.91422901694617</v>
      </c>
    </row>
    <row r="235" spans="1:17" s="108" customFormat="1" ht="22.5" customHeight="1">
      <c r="A235" s="81" t="s">
        <v>174</v>
      </c>
      <c r="B235" s="81" t="s">
        <v>173</v>
      </c>
      <c r="C235" s="234">
        <f>C237-C236</f>
        <v>2197810.9</v>
      </c>
      <c r="D235" s="234">
        <f>D237-D236</f>
        <v>4641845.346</v>
      </c>
      <c r="E235" s="234">
        <f>E237-E236</f>
        <v>4408507.197000001</v>
      </c>
      <c r="F235" s="236">
        <f t="shared" si="132"/>
        <v>-233338.14899999928</v>
      </c>
      <c r="G235" s="151">
        <f t="shared" si="133"/>
        <v>94.97315977575443</v>
      </c>
      <c r="H235" s="234">
        <f>H237-H236</f>
        <v>1805595.6</v>
      </c>
      <c r="I235" s="234">
        <f>I237-I236</f>
        <v>3958926.3</v>
      </c>
      <c r="J235" s="234">
        <f>J237-J236</f>
        <v>3859092.951</v>
      </c>
      <c r="K235" s="236">
        <f t="shared" si="134"/>
        <v>-99833.34899999993</v>
      </c>
      <c r="L235" s="151">
        <f t="shared" si="135"/>
        <v>97.47827210120077</v>
      </c>
      <c r="M235" s="234">
        <f>M237-M236</f>
        <v>392215.3</v>
      </c>
      <c r="N235" s="234">
        <f>N237-N236</f>
        <v>682919.046</v>
      </c>
      <c r="O235" s="234">
        <f>O237-O236</f>
        <v>549414.2459999999</v>
      </c>
      <c r="P235" s="236">
        <f t="shared" si="136"/>
        <v>-133504.80000000005</v>
      </c>
      <c r="Q235" s="151">
        <f t="shared" si="137"/>
        <v>80.45086005699129</v>
      </c>
    </row>
    <row r="236" spans="1:17" s="108" customFormat="1" ht="22.5" customHeight="1">
      <c r="A236" s="81" t="s">
        <v>193</v>
      </c>
      <c r="B236" s="81"/>
      <c r="C236" s="357">
        <f aca="true" t="shared" si="144" ref="C236:E237">H236+M236</f>
        <v>0</v>
      </c>
      <c r="D236" s="234">
        <f t="shared" si="144"/>
        <v>35</v>
      </c>
      <c r="E236" s="234">
        <f t="shared" si="144"/>
        <v>64.93</v>
      </c>
      <c r="F236" s="236">
        <f t="shared" si="132"/>
        <v>29.930000000000007</v>
      </c>
      <c r="G236" s="151">
        <f t="shared" si="133"/>
        <v>185.51428571428573</v>
      </c>
      <c r="H236" s="236"/>
      <c r="I236" s="236"/>
      <c r="J236" s="236"/>
      <c r="K236" s="356">
        <f t="shared" si="134"/>
        <v>0</v>
      </c>
      <c r="L236" s="338" t="e">
        <f t="shared" si="135"/>
        <v>#DIV/0!</v>
      </c>
      <c r="M236" s="234"/>
      <c r="N236" s="234">
        <v>35</v>
      </c>
      <c r="O236" s="234">
        <v>64.93</v>
      </c>
      <c r="P236" s="236">
        <f t="shared" si="136"/>
        <v>29.930000000000007</v>
      </c>
      <c r="Q236" s="151">
        <f t="shared" si="137"/>
        <v>185.51428571428573</v>
      </c>
    </row>
    <row r="237" spans="1:17" s="108" customFormat="1" ht="22.5" customHeight="1">
      <c r="A237" s="81" t="s">
        <v>194</v>
      </c>
      <c r="B237" s="81"/>
      <c r="C237" s="234">
        <f t="shared" si="144"/>
        <v>2197810.9</v>
      </c>
      <c r="D237" s="234">
        <f t="shared" si="144"/>
        <v>4641880.346</v>
      </c>
      <c r="E237" s="234">
        <f t="shared" si="144"/>
        <v>4408572.127</v>
      </c>
      <c r="F237" s="236">
        <f t="shared" si="132"/>
        <v>-233308.21899999958</v>
      </c>
      <c r="G237" s="151">
        <f t="shared" si="133"/>
        <v>94.97384246017789</v>
      </c>
      <c r="H237" s="236">
        <f>129577.1+1676018.5</f>
        <v>1805595.6</v>
      </c>
      <c r="I237" s="236">
        <f>2816859.9+1142066.4</f>
        <v>3958926.3</v>
      </c>
      <c r="J237" s="236">
        <f>2730097.351+1128995.6</f>
        <v>3859092.951</v>
      </c>
      <c r="K237" s="236">
        <f t="shared" si="134"/>
        <v>-99833.34899999993</v>
      </c>
      <c r="L237" s="151">
        <f t="shared" si="135"/>
        <v>97.47827210120077</v>
      </c>
      <c r="M237" s="234">
        <v>392215.3</v>
      </c>
      <c r="N237" s="234">
        <v>682954.046</v>
      </c>
      <c r="O237" s="234">
        <v>549479.176</v>
      </c>
      <c r="P237" s="236">
        <f t="shared" si="136"/>
        <v>-133474.87</v>
      </c>
      <c r="Q237" s="151">
        <f t="shared" si="137"/>
        <v>80.45624434297589</v>
      </c>
    </row>
    <row r="238" spans="1:17" s="108" customFormat="1" ht="22.5" customHeight="1">
      <c r="A238" s="81" t="s">
        <v>176</v>
      </c>
      <c r="B238" s="81" t="s">
        <v>175</v>
      </c>
      <c r="C238" s="234">
        <f>C240-C239</f>
        <v>258774.6</v>
      </c>
      <c r="D238" s="234">
        <f>D240-D239</f>
        <v>484462.76</v>
      </c>
      <c r="E238" s="234">
        <f>E240-E239</f>
        <v>353674.47</v>
      </c>
      <c r="F238" s="236">
        <f t="shared" si="132"/>
        <v>-130788.29000000004</v>
      </c>
      <c r="G238" s="151">
        <f t="shared" si="133"/>
        <v>73.00343787002326</v>
      </c>
      <c r="H238" s="234">
        <f>H240-H239</f>
        <v>145530</v>
      </c>
      <c r="I238" s="234">
        <f>I240-I239</f>
        <v>319648.8</v>
      </c>
      <c r="J238" s="234">
        <f>J240-J239</f>
        <v>217263.523</v>
      </c>
      <c r="K238" s="236">
        <f t="shared" si="134"/>
        <v>-102385.277</v>
      </c>
      <c r="L238" s="151">
        <f t="shared" si="135"/>
        <v>67.96944740602811</v>
      </c>
      <c r="M238" s="234">
        <f>M240-M239</f>
        <v>113244.6</v>
      </c>
      <c r="N238" s="234">
        <f>N240-N239</f>
        <v>164813.96</v>
      </c>
      <c r="O238" s="234">
        <f>O240-O239</f>
        <v>136410.947</v>
      </c>
      <c r="P238" s="236">
        <f t="shared" si="136"/>
        <v>-28403.013000000006</v>
      </c>
      <c r="Q238" s="151">
        <f t="shared" si="137"/>
        <v>82.76662183227683</v>
      </c>
    </row>
    <row r="239" spans="1:17" s="108" customFormat="1" ht="22.5" customHeight="1" hidden="1">
      <c r="A239" s="81" t="s">
        <v>193</v>
      </c>
      <c r="B239" s="81"/>
      <c r="C239" s="234">
        <f aca="true" t="shared" si="145" ref="C239:E240">H239+M239</f>
        <v>0</v>
      </c>
      <c r="D239" s="234">
        <f t="shared" si="145"/>
        <v>0</v>
      </c>
      <c r="E239" s="234">
        <f t="shared" si="145"/>
        <v>0</v>
      </c>
      <c r="F239" s="236">
        <f t="shared" si="132"/>
        <v>0</v>
      </c>
      <c r="G239" s="151" t="e">
        <f t="shared" si="133"/>
        <v>#DIV/0!</v>
      </c>
      <c r="H239" s="236"/>
      <c r="I239" s="236"/>
      <c r="J239" s="236"/>
      <c r="K239" s="236">
        <f t="shared" si="134"/>
        <v>0</v>
      </c>
      <c r="L239" s="151" t="e">
        <f t="shared" si="135"/>
        <v>#DIV/0!</v>
      </c>
      <c r="M239" s="234"/>
      <c r="N239" s="234"/>
      <c r="O239" s="234"/>
      <c r="P239" s="236">
        <f t="shared" si="136"/>
        <v>0</v>
      </c>
      <c r="Q239" s="151" t="e">
        <f t="shared" si="137"/>
        <v>#DIV/0!</v>
      </c>
    </row>
    <row r="240" spans="1:17" s="108" customFormat="1" ht="22.5" customHeight="1">
      <c r="A240" s="81" t="s">
        <v>194</v>
      </c>
      <c r="B240" s="81"/>
      <c r="C240" s="234">
        <f t="shared" si="145"/>
        <v>258774.6</v>
      </c>
      <c r="D240" s="234">
        <f t="shared" si="145"/>
        <v>484462.76</v>
      </c>
      <c r="E240" s="234">
        <f t="shared" si="145"/>
        <v>353674.47</v>
      </c>
      <c r="F240" s="236">
        <f t="shared" si="132"/>
        <v>-130788.29000000004</v>
      </c>
      <c r="G240" s="151">
        <f t="shared" si="133"/>
        <v>73.00343787002326</v>
      </c>
      <c r="H240" s="236">
        <v>145530</v>
      </c>
      <c r="I240" s="236">
        <v>319648.8</v>
      </c>
      <c r="J240" s="236">
        <v>217263.523</v>
      </c>
      <c r="K240" s="236">
        <f t="shared" si="134"/>
        <v>-102385.277</v>
      </c>
      <c r="L240" s="151">
        <f t="shared" si="135"/>
        <v>67.96944740602811</v>
      </c>
      <c r="M240" s="234">
        <v>113244.6</v>
      </c>
      <c r="N240" s="234">
        <v>164813.96</v>
      </c>
      <c r="O240" s="234">
        <v>136410.947</v>
      </c>
      <c r="P240" s="236">
        <f t="shared" si="136"/>
        <v>-28403.013000000006</v>
      </c>
      <c r="Q240" s="151">
        <f t="shared" si="137"/>
        <v>82.76662183227683</v>
      </c>
    </row>
    <row r="241" spans="1:17" s="108" customFormat="1" ht="22.5" customHeight="1">
      <c r="A241" s="81" t="s">
        <v>178</v>
      </c>
      <c r="B241" s="81" t="s">
        <v>177</v>
      </c>
      <c r="C241" s="234">
        <f>C243-C242</f>
        <v>334</v>
      </c>
      <c r="D241" s="234">
        <f>D243-D242</f>
        <v>2438</v>
      </c>
      <c r="E241" s="234">
        <f>E243-E242</f>
        <v>2015.057</v>
      </c>
      <c r="F241" s="236">
        <f t="shared" si="132"/>
        <v>-422.943</v>
      </c>
      <c r="G241" s="151">
        <f t="shared" si="133"/>
        <v>82.65205086136177</v>
      </c>
      <c r="H241" s="357">
        <f>H243-H242</f>
        <v>0</v>
      </c>
      <c r="I241" s="234">
        <f>I243-I242</f>
        <v>700</v>
      </c>
      <c r="J241" s="234">
        <f>J243-J242</f>
        <v>699.99</v>
      </c>
      <c r="K241" s="359">
        <f t="shared" si="134"/>
        <v>-0.009999999999990905</v>
      </c>
      <c r="L241" s="151">
        <f t="shared" si="135"/>
        <v>99.99857142857142</v>
      </c>
      <c r="M241" s="234">
        <f>M243-M242</f>
        <v>334</v>
      </c>
      <c r="N241" s="234">
        <f>N243-N242</f>
        <v>1738</v>
      </c>
      <c r="O241" s="234">
        <f>O243-O242</f>
        <v>1315.067</v>
      </c>
      <c r="P241" s="236">
        <f t="shared" si="136"/>
        <v>-422.933</v>
      </c>
      <c r="Q241" s="151">
        <f t="shared" si="137"/>
        <v>75.66553509781357</v>
      </c>
    </row>
    <row r="242" spans="1:17" s="108" customFormat="1" ht="22.5" customHeight="1" hidden="1">
      <c r="A242" s="81" t="s">
        <v>193</v>
      </c>
      <c r="B242" s="81"/>
      <c r="C242" s="234">
        <f aca="true" t="shared" si="146" ref="C242:E243">H242+M242</f>
        <v>0</v>
      </c>
      <c r="D242" s="234">
        <f t="shared" si="146"/>
        <v>0</v>
      </c>
      <c r="E242" s="234">
        <f t="shared" si="146"/>
        <v>0</v>
      </c>
      <c r="F242" s="236">
        <f t="shared" si="132"/>
        <v>0</v>
      </c>
      <c r="G242" s="151" t="e">
        <f t="shared" si="133"/>
        <v>#DIV/0!</v>
      </c>
      <c r="H242" s="236"/>
      <c r="I242" s="236"/>
      <c r="J242" s="236"/>
      <c r="K242" s="359">
        <f t="shared" si="134"/>
        <v>0</v>
      </c>
      <c r="L242" s="151" t="e">
        <f t="shared" si="135"/>
        <v>#DIV/0!</v>
      </c>
      <c r="M242" s="234"/>
      <c r="N242" s="234"/>
      <c r="O242" s="234"/>
      <c r="P242" s="236">
        <f t="shared" si="136"/>
        <v>0</v>
      </c>
      <c r="Q242" s="151" t="e">
        <f t="shared" si="137"/>
        <v>#DIV/0!</v>
      </c>
    </row>
    <row r="243" spans="1:17" s="108" customFormat="1" ht="22.5" customHeight="1">
      <c r="A243" s="81" t="s">
        <v>194</v>
      </c>
      <c r="B243" s="81"/>
      <c r="C243" s="234">
        <f t="shared" si="146"/>
        <v>334</v>
      </c>
      <c r="D243" s="234">
        <f t="shared" si="146"/>
        <v>2438</v>
      </c>
      <c r="E243" s="234">
        <f t="shared" si="146"/>
        <v>2015.057</v>
      </c>
      <c r="F243" s="236">
        <f t="shared" si="132"/>
        <v>-422.943</v>
      </c>
      <c r="G243" s="151">
        <f t="shared" si="133"/>
        <v>82.65205086136177</v>
      </c>
      <c r="H243" s="236"/>
      <c r="I243" s="236">
        <v>700</v>
      </c>
      <c r="J243" s="236">
        <v>699.99</v>
      </c>
      <c r="K243" s="359">
        <f t="shared" si="134"/>
        <v>-0.009999999999990905</v>
      </c>
      <c r="L243" s="151">
        <f t="shared" si="135"/>
        <v>99.99857142857142</v>
      </c>
      <c r="M243" s="234">
        <v>334</v>
      </c>
      <c r="N243" s="234">
        <v>1738</v>
      </c>
      <c r="O243" s="234">
        <v>1315.067</v>
      </c>
      <c r="P243" s="236">
        <f t="shared" si="136"/>
        <v>-422.933</v>
      </c>
      <c r="Q243" s="151">
        <f t="shared" si="137"/>
        <v>75.66553509781357</v>
      </c>
    </row>
    <row r="244" spans="1:17" s="108" customFormat="1" ht="22.5" customHeight="1" hidden="1">
      <c r="A244" s="81" t="s">
        <v>184</v>
      </c>
      <c r="B244" s="81" t="s">
        <v>183</v>
      </c>
      <c r="C244" s="234">
        <f>C246-C245</f>
        <v>0</v>
      </c>
      <c r="D244" s="234">
        <f>D246-D245</f>
        <v>0</v>
      </c>
      <c r="E244" s="234">
        <f>E246-E245</f>
        <v>0</v>
      </c>
      <c r="F244" s="236">
        <f t="shared" si="132"/>
        <v>0</v>
      </c>
      <c r="G244" s="151" t="e">
        <f t="shared" si="133"/>
        <v>#DIV/0!</v>
      </c>
      <c r="H244" s="234">
        <f>H246-H245</f>
        <v>0</v>
      </c>
      <c r="I244" s="234">
        <f>I246-I245</f>
        <v>0</v>
      </c>
      <c r="J244" s="234">
        <f>J246-J245</f>
        <v>0</v>
      </c>
      <c r="K244" s="236">
        <f t="shared" si="134"/>
        <v>0</v>
      </c>
      <c r="L244" s="151" t="e">
        <f t="shared" si="135"/>
        <v>#DIV/0!</v>
      </c>
      <c r="M244" s="234">
        <f>M246-M245</f>
        <v>0</v>
      </c>
      <c r="N244" s="234">
        <f>N246-N245</f>
        <v>0</v>
      </c>
      <c r="O244" s="234">
        <f>O246-O245</f>
        <v>0</v>
      </c>
      <c r="P244" s="236">
        <f t="shared" si="136"/>
        <v>0</v>
      </c>
      <c r="Q244" s="151" t="e">
        <f t="shared" si="137"/>
        <v>#DIV/0!</v>
      </c>
    </row>
    <row r="245" spans="1:17" s="108" customFormat="1" ht="22.5" customHeight="1" hidden="1">
      <c r="A245" s="81" t="s">
        <v>193</v>
      </c>
      <c r="B245" s="81"/>
      <c r="C245" s="234">
        <f aca="true" t="shared" si="147" ref="C245:E246">H245+M245</f>
        <v>0</v>
      </c>
      <c r="D245" s="234">
        <f t="shared" si="147"/>
        <v>0</v>
      </c>
      <c r="E245" s="234">
        <f t="shared" si="147"/>
        <v>0</v>
      </c>
      <c r="F245" s="236">
        <f t="shared" si="132"/>
        <v>0</v>
      </c>
      <c r="G245" s="151" t="e">
        <f t="shared" si="133"/>
        <v>#DIV/0!</v>
      </c>
      <c r="H245" s="236"/>
      <c r="I245" s="236"/>
      <c r="J245" s="236"/>
      <c r="K245" s="236">
        <f t="shared" si="134"/>
        <v>0</v>
      </c>
      <c r="L245" s="151" t="e">
        <f t="shared" si="135"/>
        <v>#DIV/0!</v>
      </c>
      <c r="M245" s="234"/>
      <c r="N245" s="234"/>
      <c r="O245" s="234"/>
      <c r="P245" s="236">
        <f t="shared" si="136"/>
        <v>0</v>
      </c>
      <c r="Q245" s="151" t="e">
        <f t="shared" si="137"/>
        <v>#DIV/0!</v>
      </c>
    </row>
    <row r="246" spans="1:17" s="108" customFormat="1" ht="22.5" customHeight="1" hidden="1">
      <c r="A246" s="81" t="s">
        <v>194</v>
      </c>
      <c r="B246" s="81"/>
      <c r="C246" s="234">
        <f t="shared" si="147"/>
        <v>0</v>
      </c>
      <c r="D246" s="234">
        <f t="shared" si="147"/>
        <v>0</v>
      </c>
      <c r="E246" s="234">
        <f t="shared" si="147"/>
        <v>0</v>
      </c>
      <c r="F246" s="236">
        <f t="shared" si="132"/>
        <v>0</v>
      </c>
      <c r="G246" s="151" t="e">
        <f t="shared" si="133"/>
        <v>#DIV/0!</v>
      </c>
      <c r="H246" s="236"/>
      <c r="I246" s="236"/>
      <c r="J246" s="236"/>
      <c r="K246" s="236">
        <f t="shared" si="134"/>
        <v>0</v>
      </c>
      <c r="L246" s="151" t="e">
        <f t="shared" si="135"/>
        <v>#DIV/0!</v>
      </c>
      <c r="M246" s="234"/>
      <c r="N246" s="234"/>
      <c r="O246" s="234"/>
      <c r="P246" s="236">
        <f t="shared" si="136"/>
        <v>0</v>
      </c>
      <c r="Q246" s="151" t="e">
        <f t="shared" si="137"/>
        <v>#DIV/0!</v>
      </c>
    </row>
    <row r="247" spans="1:17" s="108" customFormat="1" ht="22.5" customHeight="1" hidden="1">
      <c r="A247" s="81" t="s">
        <v>180</v>
      </c>
      <c r="B247" s="81" t="s">
        <v>179</v>
      </c>
      <c r="C247" s="234">
        <f>C249-C248</f>
        <v>0</v>
      </c>
      <c r="D247" s="234">
        <f>D249-D248</f>
        <v>0</v>
      </c>
      <c r="E247" s="234">
        <f>E249-E248</f>
        <v>0</v>
      </c>
      <c r="F247" s="236">
        <f t="shared" si="132"/>
        <v>0</v>
      </c>
      <c r="G247" s="151" t="e">
        <f t="shared" si="133"/>
        <v>#DIV/0!</v>
      </c>
      <c r="H247" s="234">
        <f>H249-H248</f>
        <v>0</v>
      </c>
      <c r="I247" s="234">
        <f>I249-I248</f>
        <v>0</v>
      </c>
      <c r="J247" s="234">
        <f>J249-J248</f>
        <v>0</v>
      </c>
      <c r="K247" s="236">
        <f t="shared" si="134"/>
        <v>0</v>
      </c>
      <c r="L247" s="151" t="e">
        <f t="shared" si="135"/>
        <v>#DIV/0!</v>
      </c>
      <c r="M247" s="234">
        <f>M249-M248</f>
        <v>0</v>
      </c>
      <c r="N247" s="234">
        <f>N249-N248</f>
        <v>0</v>
      </c>
      <c r="O247" s="234">
        <f>O249-O248</f>
        <v>0</v>
      </c>
      <c r="P247" s="236">
        <f t="shared" si="136"/>
        <v>0</v>
      </c>
      <c r="Q247" s="151" t="e">
        <f t="shared" si="137"/>
        <v>#DIV/0!</v>
      </c>
    </row>
    <row r="248" spans="1:17" s="108" customFormat="1" ht="22.5" customHeight="1" hidden="1">
      <c r="A248" s="81" t="s">
        <v>193</v>
      </c>
      <c r="B248" s="81"/>
      <c r="C248" s="234">
        <f aca="true" t="shared" si="148" ref="C248:E249">H248+M248</f>
        <v>0</v>
      </c>
      <c r="D248" s="234">
        <f t="shared" si="148"/>
        <v>0</v>
      </c>
      <c r="E248" s="234">
        <f t="shared" si="148"/>
        <v>0</v>
      </c>
      <c r="F248" s="236">
        <f t="shared" si="132"/>
        <v>0</v>
      </c>
      <c r="G248" s="151" t="e">
        <f t="shared" si="133"/>
        <v>#DIV/0!</v>
      </c>
      <c r="H248" s="236"/>
      <c r="I248" s="236"/>
      <c r="J248" s="236"/>
      <c r="K248" s="236">
        <f t="shared" si="134"/>
        <v>0</v>
      </c>
      <c r="L248" s="151" t="e">
        <f t="shared" si="135"/>
        <v>#DIV/0!</v>
      </c>
      <c r="M248" s="234"/>
      <c r="N248" s="234"/>
      <c r="O248" s="234"/>
      <c r="P248" s="236">
        <f t="shared" si="136"/>
        <v>0</v>
      </c>
      <c r="Q248" s="151" t="e">
        <f t="shared" si="137"/>
        <v>#DIV/0!</v>
      </c>
    </row>
    <row r="249" spans="1:17" s="108" customFormat="1" ht="22.5" customHeight="1" hidden="1">
      <c r="A249" s="81" t="s">
        <v>194</v>
      </c>
      <c r="B249" s="81"/>
      <c r="C249" s="234">
        <f t="shared" si="148"/>
        <v>0</v>
      </c>
      <c r="D249" s="234">
        <f t="shared" si="148"/>
        <v>0</v>
      </c>
      <c r="E249" s="234">
        <f t="shared" si="148"/>
        <v>0</v>
      </c>
      <c r="F249" s="236">
        <f t="shared" si="132"/>
        <v>0</v>
      </c>
      <c r="G249" s="151" t="e">
        <f t="shared" si="133"/>
        <v>#DIV/0!</v>
      </c>
      <c r="H249" s="236"/>
      <c r="I249" s="236"/>
      <c r="J249" s="236"/>
      <c r="K249" s="236">
        <f t="shared" si="134"/>
        <v>0</v>
      </c>
      <c r="L249" s="151" t="e">
        <f t="shared" si="135"/>
        <v>#DIV/0!</v>
      </c>
      <c r="M249" s="234"/>
      <c r="N249" s="234"/>
      <c r="O249" s="234"/>
      <c r="P249" s="236">
        <f t="shared" si="136"/>
        <v>0</v>
      </c>
      <c r="Q249" s="151" t="e">
        <f t="shared" si="137"/>
        <v>#DIV/0!</v>
      </c>
    </row>
    <row r="250" spans="1:17" s="108" customFormat="1" ht="22.5" customHeight="1" hidden="1">
      <c r="A250" s="81" t="s">
        <v>302</v>
      </c>
      <c r="B250" s="81" t="s">
        <v>301</v>
      </c>
      <c r="C250" s="234">
        <f>C252-C251</f>
        <v>0</v>
      </c>
      <c r="D250" s="234">
        <f>D252-D251</f>
        <v>0</v>
      </c>
      <c r="E250" s="234">
        <f>E252-E251</f>
        <v>0</v>
      </c>
      <c r="F250" s="236">
        <f t="shared" si="132"/>
        <v>0</v>
      </c>
      <c r="G250" s="151" t="e">
        <f t="shared" si="133"/>
        <v>#DIV/0!</v>
      </c>
      <c r="H250" s="234">
        <f>H252-H251</f>
        <v>0</v>
      </c>
      <c r="I250" s="234">
        <f>I252-I251</f>
        <v>0</v>
      </c>
      <c r="J250" s="234">
        <f>J252-J251</f>
        <v>0</v>
      </c>
      <c r="K250" s="236">
        <f t="shared" si="134"/>
        <v>0</v>
      </c>
      <c r="L250" s="151" t="e">
        <f t="shared" si="135"/>
        <v>#DIV/0!</v>
      </c>
      <c r="M250" s="234">
        <f>M252-M251</f>
        <v>0</v>
      </c>
      <c r="N250" s="234">
        <f>N252-N251</f>
        <v>0</v>
      </c>
      <c r="O250" s="234">
        <f>O252-O251</f>
        <v>0</v>
      </c>
      <c r="P250" s="236">
        <f t="shared" si="136"/>
        <v>0</v>
      </c>
      <c r="Q250" s="151" t="e">
        <f t="shared" si="137"/>
        <v>#DIV/0!</v>
      </c>
    </row>
    <row r="251" spans="1:17" s="108" customFormat="1" ht="22.5" customHeight="1" hidden="1">
      <c r="A251" s="81" t="s">
        <v>193</v>
      </c>
      <c r="B251" s="81"/>
      <c r="C251" s="234">
        <f aca="true" t="shared" si="149" ref="C251:E252">H251+M251</f>
        <v>0</v>
      </c>
      <c r="D251" s="234">
        <f t="shared" si="149"/>
        <v>0</v>
      </c>
      <c r="E251" s="234">
        <f t="shared" si="149"/>
        <v>0</v>
      </c>
      <c r="F251" s="236">
        <f t="shared" si="132"/>
        <v>0</v>
      </c>
      <c r="G251" s="151" t="e">
        <f t="shared" si="133"/>
        <v>#DIV/0!</v>
      </c>
      <c r="H251" s="236"/>
      <c r="I251" s="236"/>
      <c r="J251" s="236"/>
      <c r="K251" s="236">
        <f t="shared" si="134"/>
        <v>0</v>
      </c>
      <c r="L251" s="151" t="e">
        <f t="shared" si="135"/>
        <v>#DIV/0!</v>
      </c>
      <c r="M251" s="234"/>
      <c r="N251" s="234"/>
      <c r="O251" s="234"/>
      <c r="P251" s="236">
        <f t="shared" si="136"/>
        <v>0</v>
      </c>
      <c r="Q251" s="151" t="e">
        <f t="shared" si="137"/>
        <v>#DIV/0!</v>
      </c>
    </row>
    <row r="252" spans="1:17" s="108" customFormat="1" ht="22.5" customHeight="1" hidden="1">
      <c r="A252" s="81" t="s">
        <v>194</v>
      </c>
      <c r="B252" s="81"/>
      <c r="C252" s="234">
        <f t="shared" si="149"/>
        <v>0</v>
      </c>
      <c r="D252" s="234">
        <f t="shared" si="149"/>
        <v>0</v>
      </c>
      <c r="E252" s="234">
        <f t="shared" si="149"/>
        <v>0</v>
      </c>
      <c r="F252" s="236">
        <f t="shared" si="132"/>
        <v>0</v>
      </c>
      <c r="G252" s="151" t="e">
        <f t="shared" si="133"/>
        <v>#DIV/0!</v>
      </c>
      <c r="H252" s="236"/>
      <c r="I252" s="236"/>
      <c r="J252" s="236"/>
      <c r="K252" s="236">
        <f t="shared" si="134"/>
        <v>0</v>
      </c>
      <c r="L252" s="151" t="e">
        <f t="shared" si="135"/>
        <v>#DIV/0!</v>
      </c>
      <c r="M252" s="234"/>
      <c r="N252" s="234"/>
      <c r="O252" s="234"/>
      <c r="P252" s="236">
        <f t="shared" si="136"/>
        <v>0</v>
      </c>
      <c r="Q252" s="151" t="e">
        <f t="shared" si="137"/>
        <v>#DIV/0!</v>
      </c>
    </row>
    <row r="253" spans="1:17" s="108" customFormat="1" ht="22.5" customHeight="1" hidden="1">
      <c r="A253" s="81" t="s">
        <v>304</v>
      </c>
      <c r="B253" s="81" t="s">
        <v>303</v>
      </c>
      <c r="C253" s="234">
        <f>C255-C254</f>
        <v>0</v>
      </c>
      <c r="D253" s="234">
        <f>D255-D254</f>
        <v>0</v>
      </c>
      <c r="E253" s="234">
        <f>E255-E254</f>
        <v>0</v>
      </c>
      <c r="F253" s="236">
        <f t="shared" si="132"/>
        <v>0</v>
      </c>
      <c r="G253" s="151" t="e">
        <f t="shared" si="133"/>
        <v>#DIV/0!</v>
      </c>
      <c r="H253" s="234">
        <f>H255-H254</f>
        <v>0</v>
      </c>
      <c r="I253" s="234">
        <f>I255-I254</f>
        <v>0</v>
      </c>
      <c r="J253" s="234">
        <f>J255-J254</f>
        <v>0</v>
      </c>
      <c r="K253" s="236">
        <f t="shared" si="134"/>
        <v>0</v>
      </c>
      <c r="L253" s="151" t="e">
        <f t="shared" si="135"/>
        <v>#DIV/0!</v>
      </c>
      <c r="M253" s="234">
        <f>M255-M254</f>
        <v>0</v>
      </c>
      <c r="N253" s="234">
        <f>N255-N254</f>
        <v>0</v>
      </c>
      <c r="O253" s="234">
        <f>O255-O254</f>
        <v>0</v>
      </c>
      <c r="P253" s="236">
        <f t="shared" si="136"/>
        <v>0</v>
      </c>
      <c r="Q253" s="151" t="e">
        <f t="shared" si="137"/>
        <v>#DIV/0!</v>
      </c>
    </row>
    <row r="254" spans="1:17" s="108" customFormat="1" ht="22.5" customHeight="1" hidden="1">
      <c r="A254" s="81" t="s">
        <v>193</v>
      </c>
      <c r="B254" s="81"/>
      <c r="C254" s="234">
        <f aca="true" t="shared" si="150" ref="C254:E255">H254+M254</f>
        <v>0</v>
      </c>
      <c r="D254" s="234">
        <f t="shared" si="150"/>
        <v>0</v>
      </c>
      <c r="E254" s="234">
        <f t="shared" si="150"/>
        <v>0</v>
      </c>
      <c r="F254" s="236">
        <f t="shared" si="132"/>
        <v>0</v>
      </c>
      <c r="G254" s="151" t="e">
        <f t="shared" si="133"/>
        <v>#DIV/0!</v>
      </c>
      <c r="H254" s="236"/>
      <c r="I254" s="236"/>
      <c r="J254" s="236"/>
      <c r="K254" s="236">
        <f t="shared" si="134"/>
        <v>0</v>
      </c>
      <c r="L254" s="151" t="e">
        <f t="shared" si="135"/>
        <v>#DIV/0!</v>
      </c>
      <c r="M254" s="234"/>
      <c r="N254" s="234"/>
      <c r="O254" s="234"/>
      <c r="P254" s="236">
        <f t="shared" si="136"/>
        <v>0</v>
      </c>
      <c r="Q254" s="151" t="e">
        <f t="shared" si="137"/>
        <v>#DIV/0!</v>
      </c>
    </row>
    <row r="255" spans="1:17" s="108" customFormat="1" ht="22.5" customHeight="1" hidden="1">
      <c r="A255" s="81" t="s">
        <v>194</v>
      </c>
      <c r="B255" s="81"/>
      <c r="C255" s="234">
        <f t="shared" si="150"/>
        <v>0</v>
      </c>
      <c r="D255" s="234">
        <f t="shared" si="150"/>
        <v>0</v>
      </c>
      <c r="E255" s="234">
        <f t="shared" si="150"/>
        <v>0</v>
      </c>
      <c r="F255" s="236">
        <f t="shared" si="132"/>
        <v>0</v>
      </c>
      <c r="G255" s="151" t="e">
        <f t="shared" si="133"/>
        <v>#DIV/0!</v>
      </c>
      <c r="H255" s="236"/>
      <c r="I255" s="236"/>
      <c r="J255" s="236"/>
      <c r="K255" s="236">
        <f t="shared" si="134"/>
        <v>0</v>
      </c>
      <c r="L255" s="151" t="e">
        <f t="shared" si="135"/>
        <v>#DIV/0!</v>
      </c>
      <c r="M255" s="234"/>
      <c r="N255" s="234"/>
      <c r="O255" s="234"/>
      <c r="P255" s="236">
        <f t="shared" si="136"/>
        <v>0</v>
      </c>
      <c r="Q255" s="151" t="e">
        <f t="shared" si="137"/>
        <v>#DIV/0!</v>
      </c>
    </row>
    <row r="256" spans="1:17" s="108" customFormat="1" ht="22.5" customHeight="1" hidden="1">
      <c r="A256" s="81" t="s">
        <v>306</v>
      </c>
      <c r="B256" s="81" t="s">
        <v>305</v>
      </c>
      <c r="C256" s="234">
        <f>C258-C257</f>
        <v>0</v>
      </c>
      <c r="D256" s="234">
        <f>D258-D257</f>
        <v>0</v>
      </c>
      <c r="E256" s="234">
        <f>E258-E257</f>
        <v>0</v>
      </c>
      <c r="F256" s="236">
        <f t="shared" si="132"/>
        <v>0</v>
      </c>
      <c r="G256" s="151" t="e">
        <f t="shared" si="133"/>
        <v>#DIV/0!</v>
      </c>
      <c r="H256" s="234">
        <f>H258-H257</f>
        <v>0</v>
      </c>
      <c r="I256" s="234">
        <f>I258-I257</f>
        <v>0</v>
      </c>
      <c r="J256" s="234">
        <f>J258-J257</f>
        <v>0</v>
      </c>
      <c r="K256" s="236">
        <f t="shared" si="134"/>
        <v>0</v>
      </c>
      <c r="L256" s="151" t="e">
        <f t="shared" si="135"/>
        <v>#DIV/0!</v>
      </c>
      <c r="M256" s="234">
        <f>M258-M257</f>
        <v>0</v>
      </c>
      <c r="N256" s="234">
        <f>N258-N257</f>
        <v>0</v>
      </c>
      <c r="O256" s="234">
        <f>O258-O257</f>
        <v>0</v>
      </c>
      <c r="P256" s="236">
        <f t="shared" si="136"/>
        <v>0</v>
      </c>
      <c r="Q256" s="151" t="e">
        <f t="shared" si="137"/>
        <v>#DIV/0!</v>
      </c>
    </row>
    <row r="257" spans="1:17" s="108" customFormat="1" ht="22.5" customHeight="1" hidden="1">
      <c r="A257" s="81" t="s">
        <v>193</v>
      </c>
      <c r="B257" s="81"/>
      <c r="C257" s="234">
        <f aca="true" t="shared" si="151" ref="C257:E258">H257+M257</f>
        <v>0</v>
      </c>
      <c r="D257" s="234">
        <f t="shared" si="151"/>
        <v>0</v>
      </c>
      <c r="E257" s="234">
        <f t="shared" si="151"/>
        <v>0</v>
      </c>
      <c r="F257" s="236">
        <f t="shared" si="132"/>
        <v>0</v>
      </c>
      <c r="G257" s="151" t="e">
        <f t="shared" si="133"/>
        <v>#DIV/0!</v>
      </c>
      <c r="H257" s="236"/>
      <c r="I257" s="236"/>
      <c r="J257" s="236"/>
      <c r="K257" s="236">
        <f t="shared" si="134"/>
        <v>0</v>
      </c>
      <c r="L257" s="151" t="e">
        <f t="shared" si="135"/>
        <v>#DIV/0!</v>
      </c>
      <c r="M257" s="234"/>
      <c r="N257" s="234"/>
      <c r="O257" s="234"/>
      <c r="P257" s="236">
        <f t="shared" si="136"/>
        <v>0</v>
      </c>
      <c r="Q257" s="151" t="e">
        <f t="shared" si="137"/>
        <v>#DIV/0!</v>
      </c>
    </row>
    <row r="258" spans="1:17" s="108" customFormat="1" ht="22.5" customHeight="1" hidden="1">
      <c r="A258" s="81" t="s">
        <v>194</v>
      </c>
      <c r="B258" s="81"/>
      <c r="C258" s="234">
        <f t="shared" si="151"/>
        <v>0</v>
      </c>
      <c r="D258" s="234">
        <f t="shared" si="151"/>
        <v>0</v>
      </c>
      <c r="E258" s="234">
        <f t="shared" si="151"/>
        <v>0</v>
      </c>
      <c r="F258" s="236">
        <f t="shared" si="132"/>
        <v>0</v>
      </c>
      <c r="G258" s="151" t="e">
        <f t="shared" si="133"/>
        <v>#DIV/0!</v>
      </c>
      <c r="H258" s="236"/>
      <c r="I258" s="236"/>
      <c r="J258" s="236"/>
      <c r="K258" s="236">
        <f t="shared" si="134"/>
        <v>0</v>
      </c>
      <c r="L258" s="151" t="e">
        <f t="shared" si="135"/>
        <v>#DIV/0!</v>
      </c>
      <c r="M258" s="234"/>
      <c r="N258" s="234"/>
      <c r="O258" s="234"/>
      <c r="P258" s="236">
        <f t="shared" si="136"/>
        <v>0</v>
      </c>
      <c r="Q258" s="151" t="e">
        <f t="shared" si="137"/>
        <v>#DIV/0!</v>
      </c>
    </row>
    <row r="259" spans="1:17" s="108" customFormat="1" ht="22.5" customHeight="1">
      <c r="A259" s="81" t="s">
        <v>182</v>
      </c>
      <c r="B259" s="81" t="s">
        <v>181</v>
      </c>
      <c r="C259" s="234">
        <f>C261-C260</f>
        <v>870</v>
      </c>
      <c r="D259" s="234">
        <f>D261-D260</f>
        <v>870</v>
      </c>
      <c r="E259" s="234">
        <f>E261-E260</f>
        <v>869.999</v>
      </c>
      <c r="F259" s="359">
        <f t="shared" si="132"/>
        <v>-0.0009999999999763531</v>
      </c>
      <c r="G259" s="151">
        <f t="shared" si="133"/>
        <v>99.99988505747127</v>
      </c>
      <c r="H259" s="357">
        <f>H261-H260</f>
        <v>0</v>
      </c>
      <c r="I259" s="357">
        <f>I261-I260</f>
        <v>0</v>
      </c>
      <c r="J259" s="357">
        <f>J261-J260</f>
        <v>0</v>
      </c>
      <c r="K259" s="356">
        <f t="shared" si="134"/>
        <v>0</v>
      </c>
      <c r="L259" s="338" t="e">
        <f t="shared" si="135"/>
        <v>#DIV/0!</v>
      </c>
      <c r="M259" s="234">
        <f>M261-M260</f>
        <v>870</v>
      </c>
      <c r="N259" s="234">
        <f>N261-N260</f>
        <v>870</v>
      </c>
      <c r="O259" s="234">
        <f>O261-O260</f>
        <v>869.999</v>
      </c>
      <c r="P259" s="359">
        <f t="shared" si="136"/>
        <v>-0.0009999999999763531</v>
      </c>
      <c r="Q259" s="151">
        <f t="shared" si="137"/>
        <v>99.99988505747127</v>
      </c>
    </row>
    <row r="260" spans="1:17" s="108" customFormat="1" ht="22.5" customHeight="1" hidden="1">
      <c r="A260" s="81" t="s">
        <v>193</v>
      </c>
      <c r="B260" s="81"/>
      <c r="C260" s="234">
        <f aca="true" t="shared" si="152" ref="C260:E261">H260+M260</f>
        <v>0</v>
      </c>
      <c r="D260" s="234">
        <f t="shared" si="152"/>
        <v>0</v>
      </c>
      <c r="E260" s="234">
        <f t="shared" si="152"/>
        <v>0</v>
      </c>
      <c r="F260" s="359">
        <f t="shared" si="132"/>
        <v>0</v>
      </c>
      <c r="G260" s="151" t="e">
        <f t="shared" si="133"/>
        <v>#DIV/0!</v>
      </c>
      <c r="H260" s="356"/>
      <c r="I260" s="356"/>
      <c r="J260" s="356"/>
      <c r="K260" s="356">
        <f t="shared" si="134"/>
        <v>0</v>
      </c>
      <c r="L260" s="338" t="e">
        <f t="shared" si="135"/>
        <v>#DIV/0!</v>
      </c>
      <c r="M260" s="240"/>
      <c r="N260" s="240"/>
      <c r="O260" s="240"/>
      <c r="P260" s="359">
        <f t="shared" si="136"/>
        <v>0</v>
      </c>
      <c r="Q260" s="151" t="e">
        <f t="shared" si="137"/>
        <v>#DIV/0!</v>
      </c>
    </row>
    <row r="261" spans="1:17" s="108" customFormat="1" ht="22.5" customHeight="1">
      <c r="A261" s="81" t="s">
        <v>194</v>
      </c>
      <c r="B261" s="81"/>
      <c r="C261" s="234">
        <f t="shared" si="152"/>
        <v>870</v>
      </c>
      <c r="D261" s="234">
        <f t="shared" si="152"/>
        <v>870</v>
      </c>
      <c r="E261" s="234">
        <f t="shared" si="152"/>
        <v>869.999</v>
      </c>
      <c r="F261" s="359">
        <f t="shared" si="132"/>
        <v>-0.0009999999999763531</v>
      </c>
      <c r="G261" s="151">
        <f t="shared" si="133"/>
        <v>99.99988505747127</v>
      </c>
      <c r="H261" s="356"/>
      <c r="I261" s="356"/>
      <c r="J261" s="356"/>
      <c r="K261" s="356">
        <f t="shared" si="134"/>
        <v>0</v>
      </c>
      <c r="L261" s="338" t="e">
        <f t="shared" si="135"/>
        <v>#DIV/0!</v>
      </c>
      <c r="M261" s="234">
        <v>870</v>
      </c>
      <c r="N261" s="234">
        <v>870</v>
      </c>
      <c r="O261" s="234">
        <v>869.999</v>
      </c>
      <c r="P261" s="359">
        <f t="shared" si="136"/>
        <v>-0.0009999999999763531</v>
      </c>
      <c r="Q261" s="151">
        <f t="shared" si="137"/>
        <v>99.99988505747127</v>
      </c>
    </row>
    <row r="262" spans="1:17" s="107" customFormat="1" ht="22.5" customHeight="1">
      <c r="A262" s="80" t="s">
        <v>190</v>
      </c>
      <c r="B262" s="80"/>
      <c r="C262" s="233">
        <f>C264-C263</f>
        <v>522987.30000000005</v>
      </c>
      <c r="D262" s="233">
        <f>D264-D263</f>
        <v>561493.338</v>
      </c>
      <c r="E262" s="233">
        <f>E264-E263</f>
        <v>340887.183</v>
      </c>
      <c r="F262" s="210">
        <f t="shared" si="132"/>
        <v>-220606.15499999997</v>
      </c>
      <c r="G262" s="150">
        <f t="shared" si="133"/>
        <v>60.71081523677847</v>
      </c>
      <c r="H262" s="233">
        <f>H264-H263</f>
        <v>498046.4</v>
      </c>
      <c r="I262" s="233">
        <f>I264-I263</f>
        <v>511192.702</v>
      </c>
      <c r="J262" s="233">
        <f>J264-J263</f>
        <v>301966.897</v>
      </c>
      <c r="K262" s="210">
        <f t="shared" si="134"/>
        <v>-209225.805</v>
      </c>
      <c r="L262" s="150">
        <f t="shared" si="135"/>
        <v>59.07105007927128</v>
      </c>
      <c r="M262" s="233">
        <f>M264-M263</f>
        <v>24940.9</v>
      </c>
      <c r="N262" s="233">
        <f>N264-N263</f>
        <v>50300.636</v>
      </c>
      <c r="O262" s="233">
        <f>O264-O263</f>
        <v>38920.286</v>
      </c>
      <c r="P262" s="210">
        <f t="shared" si="136"/>
        <v>-11380.349999999999</v>
      </c>
      <c r="Q262" s="150">
        <f t="shared" si="137"/>
        <v>77.37533577110239</v>
      </c>
    </row>
    <row r="263" spans="1:17" s="107" customFormat="1" ht="22.5" customHeight="1" hidden="1">
      <c r="A263" s="80" t="s">
        <v>193</v>
      </c>
      <c r="B263" s="80"/>
      <c r="C263" s="233">
        <f aca="true" t="shared" si="153" ref="C263:E264">H263+M263</f>
        <v>0</v>
      </c>
      <c r="D263" s="233">
        <f t="shared" si="153"/>
        <v>0</v>
      </c>
      <c r="E263" s="233">
        <f t="shared" si="153"/>
        <v>0</v>
      </c>
      <c r="F263" s="210">
        <f t="shared" si="132"/>
        <v>0</v>
      </c>
      <c r="G263" s="150" t="e">
        <f t="shared" si="133"/>
        <v>#DIV/0!</v>
      </c>
      <c r="H263" s="210"/>
      <c r="I263" s="210"/>
      <c r="J263" s="210"/>
      <c r="K263" s="210">
        <f t="shared" si="134"/>
        <v>0</v>
      </c>
      <c r="L263" s="150" t="e">
        <f t="shared" si="135"/>
        <v>#DIV/0!</v>
      </c>
      <c r="M263" s="233"/>
      <c r="N263" s="233"/>
      <c r="O263" s="233"/>
      <c r="P263" s="210">
        <f t="shared" si="136"/>
        <v>0</v>
      </c>
      <c r="Q263" s="150" t="e">
        <f t="shared" si="137"/>
        <v>#DIV/0!</v>
      </c>
    </row>
    <row r="264" spans="1:17" s="107" customFormat="1" ht="22.5" customHeight="1">
      <c r="A264" s="80" t="s">
        <v>194</v>
      </c>
      <c r="B264" s="80"/>
      <c r="C264" s="233">
        <f t="shared" si="153"/>
        <v>522987.30000000005</v>
      </c>
      <c r="D264" s="233">
        <f t="shared" si="153"/>
        <v>561493.338</v>
      </c>
      <c r="E264" s="233">
        <f t="shared" si="153"/>
        <v>340887.183</v>
      </c>
      <c r="F264" s="210">
        <f t="shared" si="132"/>
        <v>-220606.15499999997</v>
      </c>
      <c r="G264" s="150">
        <f t="shared" si="133"/>
        <v>60.71081523677847</v>
      </c>
      <c r="H264" s="210">
        <v>498046.4</v>
      </c>
      <c r="I264" s="210">
        <v>511192.702</v>
      </c>
      <c r="J264" s="210">
        <v>301966.897</v>
      </c>
      <c r="K264" s="210">
        <f t="shared" si="134"/>
        <v>-209225.805</v>
      </c>
      <c r="L264" s="150">
        <f t="shared" si="135"/>
        <v>59.07105007927128</v>
      </c>
      <c r="M264" s="233">
        <v>24940.9</v>
      </c>
      <c r="N264" s="233">
        <v>50300.636</v>
      </c>
      <c r="O264" s="233">
        <v>38920.286</v>
      </c>
      <c r="P264" s="210">
        <f t="shared" si="136"/>
        <v>-11380.349999999999</v>
      </c>
      <c r="Q264" s="150">
        <f t="shared" si="137"/>
        <v>77.37533577110239</v>
      </c>
    </row>
    <row r="265" spans="1:17" s="108" customFormat="1" ht="22.5" customHeight="1">
      <c r="A265" s="81"/>
      <c r="B265" s="109"/>
      <c r="C265" s="234"/>
      <c r="D265" s="234"/>
      <c r="E265" s="236"/>
      <c r="F265" s="210"/>
      <c r="G265" s="150"/>
      <c r="H265" s="236"/>
      <c r="I265" s="236"/>
      <c r="J265" s="236"/>
      <c r="K265" s="210"/>
      <c r="L265" s="150"/>
      <c r="M265" s="234"/>
      <c r="N265" s="234"/>
      <c r="O265" s="234"/>
      <c r="P265" s="210"/>
      <c r="Q265" s="150"/>
    </row>
    <row r="266" spans="1:17" s="108" customFormat="1" ht="22.5" customHeight="1">
      <c r="A266" s="75" t="s">
        <v>7</v>
      </c>
      <c r="B266" s="109"/>
      <c r="C266" s="233">
        <f>C268-C267</f>
        <v>66117.4</v>
      </c>
      <c r="D266" s="233">
        <f>D268-D267</f>
        <v>112352.65499999998</v>
      </c>
      <c r="E266" s="233">
        <f>E268-E267</f>
        <v>103947.94</v>
      </c>
      <c r="F266" s="210">
        <f aca="true" t="shared" si="154" ref="F266:F301">E266-D266</f>
        <v>-8404.714999999982</v>
      </c>
      <c r="G266" s="150">
        <f aca="true" t="shared" si="155" ref="G266:G301">E266/D266*100</f>
        <v>92.51934455843524</v>
      </c>
      <c r="H266" s="233">
        <f>H268-H267</f>
        <v>58050.3</v>
      </c>
      <c r="I266" s="233">
        <f>I268-I267</f>
        <v>102869.525</v>
      </c>
      <c r="J266" s="233">
        <f>J268-J267</f>
        <v>95289.712</v>
      </c>
      <c r="K266" s="210">
        <f aca="true" t="shared" si="156" ref="K266:K301">J266-I266</f>
        <v>-7579.812999999995</v>
      </c>
      <c r="L266" s="150">
        <f aca="true" t="shared" si="157" ref="L266:L301">J266/I266*100</f>
        <v>92.6316243804956</v>
      </c>
      <c r="M266" s="233">
        <f>M268-M267</f>
        <v>8067.1</v>
      </c>
      <c r="N266" s="233">
        <f>N268-N267</f>
        <v>9483.13</v>
      </c>
      <c r="O266" s="233">
        <f>O268-O267</f>
        <v>8658.228000000001</v>
      </c>
      <c r="P266" s="210">
        <f aca="true" t="shared" si="158" ref="P266:P301">O266-N266</f>
        <v>-824.9019999999982</v>
      </c>
      <c r="Q266" s="150">
        <f aca="true" t="shared" si="159" ref="Q266:Q301">O266/N266*100</f>
        <v>91.30137412436613</v>
      </c>
    </row>
    <row r="267" spans="1:17" s="107" customFormat="1" ht="22.5" customHeight="1" hidden="1">
      <c r="A267" s="80" t="s">
        <v>193</v>
      </c>
      <c r="B267" s="79"/>
      <c r="C267" s="233">
        <f aca="true" t="shared" si="160" ref="C267:E268">C270+C300</f>
        <v>0</v>
      </c>
      <c r="D267" s="233">
        <f t="shared" si="160"/>
        <v>0</v>
      </c>
      <c r="E267" s="233">
        <f t="shared" si="160"/>
        <v>0</v>
      </c>
      <c r="F267" s="210">
        <f t="shared" si="154"/>
        <v>0</v>
      </c>
      <c r="G267" s="150" t="e">
        <f t="shared" si="155"/>
        <v>#DIV/0!</v>
      </c>
      <c r="H267" s="233">
        <f aca="true" t="shared" si="161" ref="H267:J268">H270+H300</f>
        <v>0</v>
      </c>
      <c r="I267" s="233">
        <f t="shared" si="161"/>
        <v>0</v>
      </c>
      <c r="J267" s="233">
        <f t="shared" si="161"/>
        <v>0</v>
      </c>
      <c r="K267" s="210">
        <f t="shared" si="156"/>
        <v>0</v>
      </c>
      <c r="L267" s="150" t="e">
        <f t="shared" si="157"/>
        <v>#DIV/0!</v>
      </c>
      <c r="M267" s="233">
        <f aca="true" t="shared" si="162" ref="M267:O268">M270+M300</f>
        <v>0</v>
      </c>
      <c r="N267" s="233">
        <f t="shared" si="162"/>
        <v>0</v>
      </c>
      <c r="O267" s="233">
        <f t="shared" si="162"/>
        <v>0</v>
      </c>
      <c r="P267" s="210">
        <f t="shared" si="158"/>
        <v>0</v>
      </c>
      <c r="Q267" s="150" t="e">
        <f t="shared" si="159"/>
        <v>#DIV/0!</v>
      </c>
    </row>
    <row r="268" spans="1:17" s="107" customFormat="1" ht="22.5" customHeight="1">
      <c r="A268" s="80" t="s">
        <v>194</v>
      </c>
      <c r="B268" s="80"/>
      <c r="C268" s="233">
        <f t="shared" si="160"/>
        <v>66117.4</v>
      </c>
      <c r="D268" s="233">
        <f t="shared" si="160"/>
        <v>112352.65499999998</v>
      </c>
      <c r="E268" s="233">
        <f t="shared" si="160"/>
        <v>103947.94</v>
      </c>
      <c r="F268" s="210">
        <f t="shared" si="154"/>
        <v>-8404.714999999982</v>
      </c>
      <c r="G268" s="150">
        <f t="shared" si="155"/>
        <v>92.51934455843524</v>
      </c>
      <c r="H268" s="233">
        <f t="shared" si="161"/>
        <v>58050.3</v>
      </c>
      <c r="I268" s="233">
        <f t="shared" si="161"/>
        <v>102869.525</v>
      </c>
      <c r="J268" s="233">
        <f t="shared" si="161"/>
        <v>95289.712</v>
      </c>
      <c r="K268" s="210">
        <f t="shared" si="156"/>
        <v>-7579.812999999995</v>
      </c>
      <c r="L268" s="150">
        <f t="shared" si="157"/>
        <v>92.6316243804956</v>
      </c>
      <c r="M268" s="233">
        <f t="shared" si="162"/>
        <v>8067.1</v>
      </c>
      <c r="N268" s="233">
        <f t="shared" si="162"/>
        <v>9483.13</v>
      </c>
      <c r="O268" s="233">
        <f t="shared" si="162"/>
        <v>8658.228000000001</v>
      </c>
      <c r="P268" s="210">
        <f t="shared" si="158"/>
        <v>-824.9019999999982</v>
      </c>
      <c r="Q268" s="150">
        <f t="shared" si="159"/>
        <v>91.30137412436613</v>
      </c>
    </row>
    <row r="269" spans="1:17" s="107" customFormat="1" ht="22.5" customHeight="1">
      <c r="A269" s="80" t="s">
        <v>189</v>
      </c>
      <c r="B269" s="80"/>
      <c r="C269" s="233">
        <f>C271-C270</f>
        <v>64335.5</v>
      </c>
      <c r="D269" s="233">
        <f>D271-D270</f>
        <v>107217.00499999999</v>
      </c>
      <c r="E269" s="233">
        <f>E271-E270</f>
        <v>100532.052</v>
      </c>
      <c r="F269" s="210">
        <f t="shared" si="154"/>
        <v>-6684.952999999994</v>
      </c>
      <c r="G269" s="150">
        <f t="shared" si="155"/>
        <v>93.76502542670355</v>
      </c>
      <c r="H269" s="233">
        <f>H271-H270</f>
        <v>56468.4</v>
      </c>
      <c r="I269" s="233">
        <f>I271-I270</f>
        <v>98230.775</v>
      </c>
      <c r="J269" s="233">
        <f>J271-J270</f>
        <v>91981.324</v>
      </c>
      <c r="K269" s="210">
        <f t="shared" si="156"/>
        <v>-6249.451000000001</v>
      </c>
      <c r="L269" s="150">
        <f t="shared" si="157"/>
        <v>93.63799074169984</v>
      </c>
      <c r="M269" s="233">
        <f>M271-M270</f>
        <v>7867.1</v>
      </c>
      <c r="N269" s="233">
        <f>N271-N270</f>
        <v>8986.23</v>
      </c>
      <c r="O269" s="233">
        <f>O271-O270</f>
        <v>8550.728000000001</v>
      </c>
      <c r="P269" s="210">
        <f t="shared" si="158"/>
        <v>-435.5019999999986</v>
      </c>
      <c r="Q269" s="150">
        <f t="shared" si="159"/>
        <v>95.15367401012439</v>
      </c>
    </row>
    <row r="270" spans="1:17" s="107" customFormat="1" ht="22.5" customHeight="1" hidden="1">
      <c r="A270" s="80" t="s">
        <v>193</v>
      </c>
      <c r="B270" s="80"/>
      <c r="C270" s="233">
        <f aca="true" t="shared" si="163" ref="C270:E271">C273+C276+C279+C282+C285+C288+C291+C294+C297</f>
        <v>0</v>
      </c>
      <c r="D270" s="233">
        <f t="shared" si="163"/>
        <v>0</v>
      </c>
      <c r="E270" s="233">
        <f t="shared" si="163"/>
        <v>0</v>
      </c>
      <c r="F270" s="210">
        <f t="shared" si="154"/>
        <v>0</v>
      </c>
      <c r="G270" s="150" t="e">
        <f t="shared" si="155"/>
        <v>#DIV/0!</v>
      </c>
      <c r="H270" s="233">
        <f aca="true" t="shared" si="164" ref="H270:J271">H273+H276+H279+H282+H285+H288+H291+H294+H297</f>
        <v>0</v>
      </c>
      <c r="I270" s="233">
        <f t="shared" si="164"/>
        <v>0</v>
      </c>
      <c r="J270" s="233">
        <f t="shared" si="164"/>
        <v>0</v>
      </c>
      <c r="K270" s="210">
        <f t="shared" si="156"/>
        <v>0</v>
      </c>
      <c r="L270" s="150" t="e">
        <f t="shared" si="157"/>
        <v>#DIV/0!</v>
      </c>
      <c r="M270" s="233">
        <f aca="true" t="shared" si="165" ref="M270:O271">M273+M276+M279+M282+M285+M288+M291+M294+M297</f>
        <v>0</v>
      </c>
      <c r="N270" s="233">
        <f t="shared" si="165"/>
        <v>0</v>
      </c>
      <c r="O270" s="233">
        <f t="shared" si="165"/>
        <v>0</v>
      </c>
      <c r="P270" s="210">
        <f t="shared" si="158"/>
        <v>0</v>
      </c>
      <c r="Q270" s="150" t="e">
        <f t="shared" si="159"/>
        <v>#DIV/0!</v>
      </c>
    </row>
    <row r="271" spans="1:17" s="107" customFormat="1" ht="22.5" customHeight="1">
      <c r="A271" s="80" t="s">
        <v>194</v>
      </c>
      <c r="B271" s="80"/>
      <c r="C271" s="233">
        <f t="shared" si="163"/>
        <v>64335.5</v>
      </c>
      <c r="D271" s="233">
        <f t="shared" si="163"/>
        <v>107217.00499999999</v>
      </c>
      <c r="E271" s="233">
        <f t="shared" si="163"/>
        <v>100532.052</v>
      </c>
      <c r="F271" s="210">
        <f t="shared" si="154"/>
        <v>-6684.952999999994</v>
      </c>
      <c r="G271" s="150">
        <f t="shared" si="155"/>
        <v>93.76502542670355</v>
      </c>
      <c r="H271" s="233">
        <f t="shared" si="164"/>
        <v>56468.4</v>
      </c>
      <c r="I271" s="233">
        <f t="shared" si="164"/>
        <v>98230.775</v>
      </c>
      <c r="J271" s="233">
        <f t="shared" si="164"/>
        <v>91981.324</v>
      </c>
      <c r="K271" s="210">
        <f t="shared" si="156"/>
        <v>-6249.451000000001</v>
      </c>
      <c r="L271" s="150">
        <f t="shared" si="157"/>
        <v>93.63799074169984</v>
      </c>
      <c r="M271" s="233">
        <f t="shared" si="165"/>
        <v>7867.1</v>
      </c>
      <c r="N271" s="233">
        <f t="shared" si="165"/>
        <v>8986.23</v>
      </c>
      <c r="O271" s="233">
        <f t="shared" si="165"/>
        <v>8550.728000000001</v>
      </c>
      <c r="P271" s="210">
        <f t="shared" si="158"/>
        <v>-435.5019999999986</v>
      </c>
      <c r="Q271" s="150">
        <f t="shared" si="159"/>
        <v>95.15367401012439</v>
      </c>
    </row>
    <row r="272" spans="1:17" s="108" customFormat="1" ht="22.5" customHeight="1">
      <c r="A272" s="81" t="s">
        <v>174</v>
      </c>
      <c r="B272" s="81" t="s">
        <v>173</v>
      </c>
      <c r="C272" s="234">
        <f>C274-C273</f>
        <v>19321.5</v>
      </c>
      <c r="D272" s="234">
        <f>D274-D273</f>
        <v>44347.729999999996</v>
      </c>
      <c r="E272" s="234">
        <f>E274-E273</f>
        <v>44010.30500000001</v>
      </c>
      <c r="F272" s="236">
        <f t="shared" si="154"/>
        <v>-337.42499999998836</v>
      </c>
      <c r="G272" s="151">
        <f t="shared" si="155"/>
        <v>99.23913805734817</v>
      </c>
      <c r="H272" s="234">
        <f>H274-H273</f>
        <v>14711.5</v>
      </c>
      <c r="I272" s="234">
        <f>I274-I273</f>
        <v>38205.2</v>
      </c>
      <c r="J272" s="234">
        <f>J274-J273</f>
        <v>38133.035</v>
      </c>
      <c r="K272" s="236">
        <f t="shared" si="156"/>
        <v>-72.1649999999936</v>
      </c>
      <c r="L272" s="151">
        <f t="shared" si="157"/>
        <v>99.81111209992358</v>
      </c>
      <c r="M272" s="234">
        <f>M274-M273</f>
        <v>4610</v>
      </c>
      <c r="N272" s="234">
        <f>N274-N273</f>
        <v>6142.53</v>
      </c>
      <c r="O272" s="234">
        <f>O274-O273</f>
        <v>5877.27</v>
      </c>
      <c r="P272" s="236">
        <f t="shared" si="158"/>
        <v>-265.2599999999993</v>
      </c>
      <c r="Q272" s="151">
        <f t="shared" si="159"/>
        <v>95.68158397272785</v>
      </c>
    </row>
    <row r="273" spans="1:17" s="108" customFormat="1" ht="22.5" customHeight="1" hidden="1">
      <c r="A273" s="81" t="s">
        <v>193</v>
      </c>
      <c r="B273" s="81"/>
      <c r="C273" s="234">
        <f aca="true" t="shared" si="166" ref="C273:E274">H273+M273</f>
        <v>0</v>
      </c>
      <c r="D273" s="234">
        <f t="shared" si="166"/>
        <v>0</v>
      </c>
      <c r="E273" s="234">
        <f t="shared" si="166"/>
        <v>0</v>
      </c>
      <c r="F273" s="236">
        <f t="shared" si="154"/>
        <v>0</v>
      </c>
      <c r="G273" s="151" t="e">
        <f t="shared" si="155"/>
        <v>#DIV/0!</v>
      </c>
      <c r="H273" s="236"/>
      <c r="I273" s="236"/>
      <c r="J273" s="236"/>
      <c r="K273" s="236">
        <f t="shared" si="156"/>
        <v>0</v>
      </c>
      <c r="L273" s="151" t="e">
        <f t="shared" si="157"/>
        <v>#DIV/0!</v>
      </c>
      <c r="M273" s="234"/>
      <c r="N273" s="234"/>
      <c r="O273" s="234"/>
      <c r="P273" s="236">
        <f t="shared" si="158"/>
        <v>0</v>
      </c>
      <c r="Q273" s="151" t="e">
        <f t="shared" si="159"/>
        <v>#DIV/0!</v>
      </c>
    </row>
    <row r="274" spans="1:17" s="108" customFormat="1" ht="22.5" customHeight="1">
      <c r="A274" s="81" t="s">
        <v>194</v>
      </c>
      <c r="B274" s="81"/>
      <c r="C274" s="234">
        <f t="shared" si="166"/>
        <v>19321.5</v>
      </c>
      <c r="D274" s="234">
        <f t="shared" si="166"/>
        <v>44347.729999999996</v>
      </c>
      <c r="E274" s="234">
        <f t="shared" si="166"/>
        <v>44010.30500000001</v>
      </c>
      <c r="F274" s="236">
        <f t="shared" si="154"/>
        <v>-337.42499999998836</v>
      </c>
      <c r="G274" s="151">
        <f t="shared" si="155"/>
        <v>99.23913805734817</v>
      </c>
      <c r="H274" s="236">
        <v>14711.5</v>
      </c>
      <c r="I274" s="236">
        <v>38205.2</v>
      </c>
      <c r="J274" s="236">
        <v>38133.035</v>
      </c>
      <c r="K274" s="236">
        <f t="shared" si="156"/>
        <v>-72.1649999999936</v>
      </c>
      <c r="L274" s="151">
        <f t="shared" si="157"/>
        <v>99.81111209992358</v>
      </c>
      <c r="M274" s="234">
        <v>4610</v>
      </c>
      <c r="N274" s="234">
        <v>6142.53</v>
      </c>
      <c r="O274" s="234">
        <v>5877.27</v>
      </c>
      <c r="P274" s="236">
        <f t="shared" si="158"/>
        <v>-265.2599999999993</v>
      </c>
      <c r="Q274" s="151">
        <f t="shared" si="159"/>
        <v>95.68158397272785</v>
      </c>
    </row>
    <row r="275" spans="1:17" s="108" customFormat="1" ht="22.5" customHeight="1">
      <c r="A275" s="81" t="s">
        <v>176</v>
      </c>
      <c r="B275" s="81" t="s">
        <v>175</v>
      </c>
      <c r="C275" s="234">
        <f>C277-C276</f>
        <v>45014</v>
      </c>
      <c r="D275" s="234">
        <f>D277-D276</f>
        <v>62869.274999999994</v>
      </c>
      <c r="E275" s="234">
        <f>E277-E276</f>
        <v>56521.746999999996</v>
      </c>
      <c r="F275" s="236">
        <f t="shared" si="154"/>
        <v>-6347.527999999998</v>
      </c>
      <c r="G275" s="151">
        <f t="shared" si="155"/>
        <v>89.90360871824909</v>
      </c>
      <c r="H275" s="234">
        <f>H277-H276</f>
        <v>41756.9</v>
      </c>
      <c r="I275" s="234">
        <f>I277-I276</f>
        <v>60025.575</v>
      </c>
      <c r="J275" s="234">
        <f>J277-J276</f>
        <v>53848.289</v>
      </c>
      <c r="K275" s="236">
        <f t="shared" si="156"/>
        <v>-6177.286</v>
      </c>
      <c r="L275" s="151">
        <f t="shared" si="157"/>
        <v>89.708909910484</v>
      </c>
      <c r="M275" s="234">
        <f>M277-M276</f>
        <v>3257.1</v>
      </c>
      <c r="N275" s="234">
        <f>N277-N276</f>
        <v>2843.7</v>
      </c>
      <c r="O275" s="234">
        <f>O277-O276</f>
        <v>2673.458</v>
      </c>
      <c r="P275" s="236">
        <f t="shared" si="158"/>
        <v>-170.24199999999973</v>
      </c>
      <c r="Q275" s="151">
        <f t="shared" si="159"/>
        <v>94.01336287231425</v>
      </c>
    </row>
    <row r="276" spans="1:17" s="108" customFormat="1" ht="22.5" customHeight="1" hidden="1">
      <c r="A276" s="81" t="s">
        <v>193</v>
      </c>
      <c r="B276" s="81"/>
      <c r="C276" s="234">
        <f aca="true" t="shared" si="167" ref="C276:E277">H276+M276</f>
        <v>0</v>
      </c>
      <c r="D276" s="234">
        <f t="shared" si="167"/>
        <v>0</v>
      </c>
      <c r="E276" s="234">
        <f t="shared" si="167"/>
        <v>0</v>
      </c>
      <c r="F276" s="236">
        <f t="shared" si="154"/>
        <v>0</v>
      </c>
      <c r="G276" s="151" t="e">
        <f t="shared" si="155"/>
        <v>#DIV/0!</v>
      </c>
      <c r="H276" s="236"/>
      <c r="I276" s="236"/>
      <c r="J276" s="236"/>
      <c r="K276" s="236">
        <f t="shared" si="156"/>
        <v>0</v>
      </c>
      <c r="L276" s="151" t="e">
        <f t="shared" si="157"/>
        <v>#DIV/0!</v>
      </c>
      <c r="M276" s="234"/>
      <c r="N276" s="234"/>
      <c r="O276" s="234"/>
      <c r="P276" s="236">
        <f t="shared" si="158"/>
        <v>0</v>
      </c>
      <c r="Q276" s="151" t="e">
        <f t="shared" si="159"/>
        <v>#DIV/0!</v>
      </c>
    </row>
    <row r="277" spans="1:17" s="108" customFormat="1" ht="22.5" customHeight="1">
      <c r="A277" s="81" t="s">
        <v>194</v>
      </c>
      <c r="B277" s="81"/>
      <c r="C277" s="234">
        <f t="shared" si="167"/>
        <v>45014</v>
      </c>
      <c r="D277" s="234">
        <f t="shared" si="167"/>
        <v>62869.274999999994</v>
      </c>
      <c r="E277" s="234">
        <f t="shared" si="167"/>
        <v>56521.746999999996</v>
      </c>
      <c r="F277" s="236">
        <f t="shared" si="154"/>
        <v>-6347.527999999998</v>
      </c>
      <c r="G277" s="151">
        <f t="shared" si="155"/>
        <v>89.90360871824909</v>
      </c>
      <c r="H277" s="236">
        <v>41756.9</v>
      </c>
      <c r="I277" s="236">
        <v>60025.575</v>
      </c>
      <c r="J277" s="236">
        <v>53848.289</v>
      </c>
      <c r="K277" s="236">
        <f t="shared" si="156"/>
        <v>-6177.286</v>
      </c>
      <c r="L277" s="151">
        <f t="shared" si="157"/>
        <v>89.708909910484</v>
      </c>
      <c r="M277" s="234">
        <v>3257.1</v>
      </c>
      <c r="N277" s="234">
        <v>2843.7</v>
      </c>
      <c r="O277" s="234">
        <v>2673.458</v>
      </c>
      <c r="P277" s="236">
        <f t="shared" si="158"/>
        <v>-170.24199999999973</v>
      </c>
      <c r="Q277" s="151">
        <f t="shared" si="159"/>
        <v>94.01336287231425</v>
      </c>
    </row>
    <row r="278" spans="1:17" s="108" customFormat="1" ht="22.5" customHeight="1" hidden="1">
      <c r="A278" s="81" t="s">
        <v>178</v>
      </c>
      <c r="B278" s="81" t="s">
        <v>177</v>
      </c>
      <c r="C278" s="234">
        <f>C280-C279</f>
        <v>0</v>
      </c>
      <c r="D278" s="234">
        <f>D280-D279</f>
        <v>0</v>
      </c>
      <c r="E278" s="234">
        <f>E280-E279</f>
        <v>0</v>
      </c>
      <c r="F278" s="236">
        <f t="shared" si="154"/>
        <v>0</v>
      </c>
      <c r="G278" s="151" t="e">
        <f t="shared" si="155"/>
        <v>#DIV/0!</v>
      </c>
      <c r="H278" s="234">
        <f>H280-H279</f>
        <v>0</v>
      </c>
      <c r="I278" s="234">
        <f>I280-I279</f>
        <v>0</v>
      </c>
      <c r="J278" s="234">
        <f>J280-J279</f>
        <v>0</v>
      </c>
      <c r="K278" s="236">
        <f t="shared" si="156"/>
        <v>0</v>
      </c>
      <c r="L278" s="151" t="e">
        <f t="shared" si="157"/>
        <v>#DIV/0!</v>
      </c>
      <c r="M278" s="234">
        <f>M280-M279</f>
        <v>0</v>
      </c>
      <c r="N278" s="234">
        <f>N280-N279</f>
        <v>0</v>
      </c>
      <c r="O278" s="234">
        <f>O280-O279</f>
        <v>0</v>
      </c>
      <c r="P278" s="236">
        <f t="shared" si="158"/>
        <v>0</v>
      </c>
      <c r="Q278" s="151" t="e">
        <f t="shared" si="159"/>
        <v>#DIV/0!</v>
      </c>
    </row>
    <row r="279" spans="1:17" s="108" customFormat="1" ht="22.5" customHeight="1" hidden="1">
      <c r="A279" s="81" t="s">
        <v>193</v>
      </c>
      <c r="B279" s="81"/>
      <c r="C279" s="234">
        <f aca="true" t="shared" si="168" ref="C279:E280">H279+M279</f>
        <v>0</v>
      </c>
      <c r="D279" s="234">
        <f t="shared" si="168"/>
        <v>0</v>
      </c>
      <c r="E279" s="234">
        <f t="shared" si="168"/>
        <v>0</v>
      </c>
      <c r="F279" s="236">
        <f t="shared" si="154"/>
        <v>0</v>
      </c>
      <c r="G279" s="151" t="e">
        <f t="shared" si="155"/>
        <v>#DIV/0!</v>
      </c>
      <c r="H279" s="236"/>
      <c r="I279" s="236"/>
      <c r="J279" s="236"/>
      <c r="K279" s="236">
        <f t="shared" si="156"/>
        <v>0</v>
      </c>
      <c r="L279" s="151" t="e">
        <f t="shared" si="157"/>
        <v>#DIV/0!</v>
      </c>
      <c r="M279" s="234"/>
      <c r="N279" s="234"/>
      <c r="O279" s="234"/>
      <c r="P279" s="236">
        <f t="shared" si="158"/>
        <v>0</v>
      </c>
      <c r="Q279" s="151" t="e">
        <f t="shared" si="159"/>
        <v>#DIV/0!</v>
      </c>
    </row>
    <row r="280" spans="1:17" s="108" customFormat="1" ht="22.5" customHeight="1" hidden="1">
      <c r="A280" s="81" t="s">
        <v>194</v>
      </c>
      <c r="B280" s="81"/>
      <c r="C280" s="234">
        <f t="shared" si="168"/>
        <v>0</v>
      </c>
      <c r="D280" s="234">
        <f t="shared" si="168"/>
        <v>0</v>
      </c>
      <c r="E280" s="234">
        <f t="shared" si="168"/>
        <v>0</v>
      </c>
      <c r="F280" s="236">
        <f t="shared" si="154"/>
        <v>0</v>
      </c>
      <c r="G280" s="151" t="e">
        <f t="shared" si="155"/>
        <v>#DIV/0!</v>
      </c>
      <c r="H280" s="236"/>
      <c r="I280" s="236"/>
      <c r="J280" s="236"/>
      <c r="K280" s="236">
        <f t="shared" si="156"/>
        <v>0</v>
      </c>
      <c r="L280" s="151" t="e">
        <f t="shared" si="157"/>
        <v>#DIV/0!</v>
      </c>
      <c r="M280" s="234"/>
      <c r="N280" s="234"/>
      <c r="O280" s="234"/>
      <c r="P280" s="236">
        <f t="shared" si="158"/>
        <v>0</v>
      </c>
      <c r="Q280" s="151" t="e">
        <f t="shared" si="159"/>
        <v>#DIV/0!</v>
      </c>
    </row>
    <row r="281" spans="1:17" s="108" customFormat="1" ht="22.5" customHeight="1" hidden="1">
      <c r="A281" s="81" t="s">
        <v>184</v>
      </c>
      <c r="B281" s="81" t="s">
        <v>183</v>
      </c>
      <c r="C281" s="234">
        <f>C283-C282</f>
        <v>0</v>
      </c>
      <c r="D281" s="234">
        <f>D283-D282</f>
        <v>0</v>
      </c>
      <c r="E281" s="234">
        <f>E283-E282</f>
        <v>0</v>
      </c>
      <c r="F281" s="236">
        <f t="shared" si="154"/>
        <v>0</v>
      </c>
      <c r="G281" s="151" t="e">
        <f t="shared" si="155"/>
        <v>#DIV/0!</v>
      </c>
      <c r="H281" s="234">
        <f>H283-H282</f>
        <v>0</v>
      </c>
      <c r="I281" s="234">
        <f>I283-I282</f>
        <v>0</v>
      </c>
      <c r="J281" s="234">
        <f>J283-J282</f>
        <v>0</v>
      </c>
      <c r="K281" s="236">
        <f t="shared" si="156"/>
        <v>0</v>
      </c>
      <c r="L281" s="151" t="e">
        <f t="shared" si="157"/>
        <v>#DIV/0!</v>
      </c>
      <c r="M281" s="234">
        <f>M283-M282</f>
        <v>0</v>
      </c>
      <c r="N281" s="234">
        <f>N283-N282</f>
        <v>0</v>
      </c>
      <c r="O281" s="234">
        <f>O283-O282</f>
        <v>0</v>
      </c>
      <c r="P281" s="236">
        <f t="shared" si="158"/>
        <v>0</v>
      </c>
      <c r="Q281" s="151" t="e">
        <f t="shared" si="159"/>
        <v>#DIV/0!</v>
      </c>
    </row>
    <row r="282" spans="1:17" s="108" customFormat="1" ht="22.5" customHeight="1" hidden="1">
      <c r="A282" s="81" t="s">
        <v>193</v>
      </c>
      <c r="B282" s="81"/>
      <c r="C282" s="234">
        <f aca="true" t="shared" si="169" ref="C282:E283">H282+M282</f>
        <v>0</v>
      </c>
      <c r="D282" s="234">
        <f t="shared" si="169"/>
        <v>0</v>
      </c>
      <c r="E282" s="234">
        <f t="shared" si="169"/>
        <v>0</v>
      </c>
      <c r="F282" s="236">
        <f t="shared" si="154"/>
        <v>0</v>
      </c>
      <c r="G282" s="151" t="e">
        <f t="shared" si="155"/>
        <v>#DIV/0!</v>
      </c>
      <c r="H282" s="236"/>
      <c r="I282" s="236"/>
      <c r="J282" s="236"/>
      <c r="K282" s="236">
        <f t="shared" si="156"/>
        <v>0</v>
      </c>
      <c r="L282" s="151" t="e">
        <f t="shared" si="157"/>
        <v>#DIV/0!</v>
      </c>
      <c r="M282" s="234"/>
      <c r="N282" s="234"/>
      <c r="O282" s="234"/>
      <c r="P282" s="236">
        <f t="shared" si="158"/>
        <v>0</v>
      </c>
      <c r="Q282" s="151" t="e">
        <f t="shared" si="159"/>
        <v>#DIV/0!</v>
      </c>
    </row>
    <row r="283" spans="1:17" s="108" customFormat="1" ht="22.5" customHeight="1" hidden="1">
      <c r="A283" s="81" t="s">
        <v>194</v>
      </c>
      <c r="B283" s="81"/>
      <c r="C283" s="234">
        <f t="shared" si="169"/>
        <v>0</v>
      </c>
      <c r="D283" s="234">
        <f t="shared" si="169"/>
        <v>0</v>
      </c>
      <c r="E283" s="234">
        <f t="shared" si="169"/>
        <v>0</v>
      </c>
      <c r="F283" s="236">
        <f t="shared" si="154"/>
        <v>0</v>
      </c>
      <c r="G283" s="151" t="e">
        <f t="shared" si="155"/>
        <v>#DIV/0!</v>
      </c>
      <c r="H283" s="236"/>
      <c r="I283" s="236"/>
      <c r="J283" s="236"/>
      <c r="K283" s="236">
        <f t="shared" si="156"/>
        <v>0</v>
      </c>
      <c r="L283" s="151" t="e">
        <f t="shared" si="157"/>
        <v>#DIV/0!</v>
      </c>
      <c r="M283" s="234"/>
      <c r="N283" s="234"/>
      <c r="O283" s="234"/>
      <c r="P283" s="236">
        <f t="shared" si="158"/>
        <v>0</v>
      </c>
      <c r="Q283" s="151" t="e">
        <f t="shared" si="159"/>
        <v>#DIV/0!</v>
      </c>
    </row>
    <row r="284" spans="1:17" s="108" customFormat="1" ht="22.5" customHeight="1" hidden="1">
      <c r="A284" s="81" t="s">
        <v>180</v>
      </c>
      <c r="B284" s="81" t="s">
        <v>179</v>
      </c>
      <c r="C284" s="234">
        <f>C286-C285</f>
        <v>0</v>
      </c>
      <c r="D284" s="234">
        <f>D286-D285</f>
        <v>0</v>
      </c>
      <c r="E284" s="234">
        <f>E286-E285</f>
        <v>0</v>
      </c>
      <c r="F284" s="236">
        <f t="shared" si="154"/>
        <v>0</v>
      </c>
      <c r="G284" s="151" t="e">
        <f t="shared" si="155"/>
        <v>#DIV/0!</v>
      </c>
      <c r="H284" s="234">
        <f>H286-H285</f>
        <v>0</v>
      </c>
      <c r="I284" s="234">
        <f>I286-I285</f>
        <v>0</v>
      </c>
      <c r="J284" s="234">
        <f>J286-J285</f>
        <v>0</v>
      </c>
      <c r="K284" s="236">
        <f t="shared" si="156"/>
        <v>0</v>
      </c>
      <c r="L284" s="151" t="e">
        <f t="shared" si="157"/>
        <v>#DIV/0!</v>
      </c>
      <c r="M284" s="234">
        <f>M286-M285</f>
        <v>0</v>
      </c>
      <c r="N284" s="234">
        <f>N286-N285</f>
        <v>0</v>
      </c>
      <c r="O284" s="234">
        <f>O286-O285</f>
        <v>0</v>
      </c>
      <c r="P284" s="236">
        <f t="shared" si="158"/>
        <v>0</v>
      </c>
      <c r="Q284" s="151" t="e">
        <f t="shared" si="159"/>
        <v>#DIV/0!</v>
      </c>
    </row>
    <row r="285" spans="1:17" s="108" customFormat="1" ht="22.5" customHeight="1" hidden="1">
      <c r="A285" s="81" t="s">
        <v>193</v>
      </c>
      <c r="B285" s="81"/>
      <c r="C285" s="234">
        <f aca="true" t="shared" si="170" ref="C285:E286">H285+M285</f>
        <v>0</v>
      </c>
      <c r="D285" s="234">
        <f t="shared" si="170"/>
        <v>0</v>
      </c>
      <c r="E285" s="234">
        <f t="shared" si="170"/>
        <v>0</v>
      </c>
      <c r="F285" s="236">
        <f t="shared" si="154"/>
        <v>0</v>
      </c>
      <c r="G285" s="151" t="e">
        <f t="shared" si="155"/>
        <v>#DIV/0!</v>
      </c>
      <c r="H285" s="236"/>
      <c r="I285" s="236"/>
      <c r="J285" s="236"/>
      <c r="K285" s="236">
        <f t="shared" si="156"/>
        <v>0</v>
      </c>
      <c r="L285" s="151" t="e">
        <f t="shared" si="157"/>
        <v>#DIV/0!</v>
      </c>
      <c r="M285" s="234"/>
      <c r="N285" s="234"/>
      <c r="O285" s="234"/>
      <c r="P285" s="236">
        <f t="shared" si="158"/>
        <v>0</v>
      </c>
      <c r="Q285" s="151" t="e">
        <f t="shared" si="159"/>
        <v>#DIV/0!</v>
      </c>
    </row>
    <row r="286" spans="1:17" s="108" customFormat="1" ht="22.5" customHeight="1" hidden="1">
      <c r="A286" s="81" t="s">
        <v>194</v>
      </c>
      <c r="B286" s="81"/>
      <c r="C286" s="234">
        <f t="shared" si="170"/>
        <v>0</v>
      </c>
      <c r="D286" s="234">
        <f t="shared" si="170"/>
        <v>0</v>
      </c>
      <c r="E286" s="234">
        <f t="shared" si="170"/>
        <v>0</v>
      </c>
      <c r="F286" s="236">
        <f t="shared" si="154"/>
        <v>0</v>
      </c>
      <c r="G286" s="151" t="e">
        <f t="shared" si="155"/>
        <v>#DIV/0!</v>
      </c>
      <c r="H286" s="236"/>
      <c r="I286" s="236"/>
      <c r="J286" s="236"/>
      <c r="K286" s="236">
        <f t="shared" si="156"/>
        <v>0</v>
      </c>
      <c r="L286" s="151" t="e">
        <f t="shared" si="157"/>
        <v>#DIV/0!</v>
      </c>
      <c r="M286" s="234"/>
      <c r="N286" s="234"/>
      <c r="O286" s="234"/>
      <c r="P286" s="236">
        <f t="shared" si="158"/>
        <v>0</v>
      </c>
      <c r="Q286" s="151" t="e">
        <f t="shared" si="159"/>
        <v>#DIV/0!</v>
      </c>
    </row>
    <row r="287" spans="1:17" s="108" customFormat="1" ht="22.5" customHeight="1" hidden="1">
      <c r="A287" s="81" t="s">
        <v>302</v>
      </c>
      <c r="B287" s="81" t="s">
        <v>301</v>
      </c>
      <c r="C287" s="234">
        <f>C289-C288</f>
        <v>0</v>
      </c>
      <c r="D287" s="234">
        <f>D289-D288</f>
        <v>0</v>
      </c>
      <c r="E287" s="234">
        <f>E289-E288</f>
        <v>0</v>
      </c>
      <c r="F287" s="236">
        <f t="shared" si="154"/>
        <v>0</v>
      </c>
      <c r="G287" s="151" t="e">
        <f t="shared" si="155"/>
        <v>#DIV/0!</v>
      </c>
      <c r="H287" s="234">
        <f>H289-H288</f>
        <v>0</v>
      </c>
      <c r="I287" s="234">
        <f>I289-I288</f>
        <v>0</v>
      </c>
      <c r="J287" s="234">
        <f>J289-J288</f>
        <v>0</v>
      </c>
      <c r="K287" s="236">
        <f t="shared" si="156"/>
        <v>0</v>
      </c>
      <c r="L287" s="151" t="e">
        <f t="shared" si="157"/>
        <v>#DIV/0!</v>
      </c>
      <c r="M287" s="234">
        <f>M289-M288</f>
        <v>0</v>
      </c>
      <c r="N287" s="234">
        <f>N289-N288</f>
        <v>0</v>
      </c>
      <c r="O287" s="234">
        <f>O289-O288</f>
        <v>0</v>
      </c>
      <c r="P287" s="236">
        <f t="shared" si="158"/>
        <v>0</v>
      </c>
      <c r="Q287" s="151" t="e">
        <f t="shared" si="159"/>
        <v>#DIV/0!</v>
      </c>
    </row>
    <row r="288" spans="1:17" s="108" customFormat="1" ht="22.5" customHeight="1" hidden="1">
      <c r="A288" s="81" t="s">
        <v>193</v>
      </c>
      <c r="B288" s="81"/>
      <c r="C288" s="234">
        <f aca="true" t="shared" si="171" ref="C288:E289">H288+M288</f>
        <v>0</v>
      </c>
      <c r="D288" s="234">
        <f t="shared" si="171"/>
        <v>0</v>
      </c>
      <c r="E288" s="234">
        <f t="shared" si="171"/>
        <v>0</v>
      </c>
      <c r="F288" s="236">
        <f t="shared" si="154"/>
        <v>0</v>
      </c>
      <c r="G288" s="151" t="e">
        <f t="shared" si="155"/>
        <v>#DIV/0!</v>
      </c>
      <c r="H288" s="236"/>
      <c r="I288" s="236"/>
      <c r="J288" s="236"/>
      <c r="K288" s="236">
        <f t="shared" si="156"/>
        <v>0</v>
      </c>
      <c r="L288" s="151" t="e">
        <f t="shared" si="157"/>
        <v>#DIV/0!</v>
      </c>
      <c r="M288" s="234"/>
      <c r="N288" s="234"/>
      <c r="O288" s="234"/>
      <c r="P288" s="236">
        <f t="shared" si="158"/>
        <v>0</v>
      </c>
      <c r="Q288" s="151" t="e">
        <f t="shared" si="159"/>
        <v>#DIV/0!</v>
      </c>
    </row>
    <row r="289" spans="1:17" s="108" customFormat="1" ht="22.5" customHeight="1" hidden="1">
      <c r="A289" s="81" t="s">
        <v>194</v>
      </c>
      <c r="B289" s="81"/>
      <c r="C289" s="234">
        <f t="shared" si="171"/>
        <v>0</v>
      </c>
      <c r="D289" s="234">
        <f t="shared" si="171"/>
        <v>0</v>
      </c>
      <c r="E289" s="234">
        <f t="shared" si="171"/>
        <v>0</v>
      </c>
      <c r="F289" s="236">
        <f t="shared" si="154"/>
        <v>0</v>
      </c>
      <c r="G289" s="151" t="e">
        <f t="shared" si="155"/>
        <v>#DIV/0!</v>
      </c>
      <c r="H289" s="236"/>
      <c r="I289" s="236"/>
      <c r="J289" s="236"/>
      <c r="K289" s="236">
        <f t="shared" si="156"/>
        <v>0</v>
      </c>
      <c r="L289" s="151" t="e">
        <f t="shared" si="157"/>
        <v>#DIV/0!</v>
      </c>
      <c r="M289" s="234"/>
      <c r="N289" s="234"/>
      <c r="O289" s="234"/>
      <c r="P289" s="236">
        <f t="shared" si="158"/>
        <v>0</v>
      </c>
      <c r="Q289" s="151" t="e">
        <f t="shared" si="159"/>
        <v>#DIV/0!</v>
      </c>
    </row>
    <row r="290" spans="1:17" s="108" customFormat="1" ht="22.5" customHeight="1" hidden="1">
      <c r="A290" s="81" t="s">
        <v>304</v>
      </c>
      <c r="B290" s="81" t="s">
        <v>303</v>
      </c>
      <c r="C290" s="234">
        <f>C292-C291</f>
        <v>0</v>
      </c>
      <c r="D290" s="234">
        <f>D292-D291</f>
        <v>0</v>
      </c>
      <c r="E290" s="234">
        <f>E292-E291</f>
        <v>0</v>
      </c>
      <c r="F290" s="236">
        <f t="shared" si="154"/>
        <v>0</v>
      </c>
      <c r="G290" s="151" t="e">
        <f t="shared" si="155"/>
        <v>#DIV/0!</v>
      </c>
      <c r="H290" s="234">
        <f>H292-H291</f>
        <v>0</v>
      </c>
      <c r="I290" s="234">
        <f>I292-I291</f>
        <v>0</v>
      </c>
      <c r="J290" s="234">
        <f>J292-J291</f>
        <v>0</v>
      </c>
      <c r="K290" s="236">
        <f t="shared" si="156"/>
        <v>0</v>
      </c>
      <c r="L290" s="151" t="e">
        <f t="shared" si="157"/>
        <v>#DIV/0!</v>
      </c>
      <c r="M290" s="234">
        <f>M292-M291</f>
        <v>0</v>
      </c>
      <c r="N290" s="234">
        <f>N292-N291</f>
        <v>0</v>
      </c>
      <c r="O290" s="234">
        <f>O292-O291</f>
        <v>0</v>
      </c>
      <c r="P290" s="236">
        <f t="shared" si="158"/>
        <v>0</v>
      </c>
      <c r="Q290" s="151" t="e">
        <f t="shared" si="159"/>
        <v>#DIV/0!</v>
      </c>
    </row>
    <row r="291" spans="1:17" s="108" customFormat="1" ht="22.5" customHeight="1" hidden="1">
      <c r="A291" s="81" t="s">
        <v>193</v>
      </c>
      <c r="B291" s="81"/>
      <c r="C291" s="234">
        <f aca="true" t="shared" si="172" ref="C291:E292">H291+M291</f>
        <v>0</v>
      </c>
      <c r="D291" s="234">
        <f t="shared" si="172"/>
        <v>0</v>
      </c>
      <c r="E291" s="234">
        <f t="shared" si="172"/>
        <v>0</v>
      </c>
      <c r="F291" s="236">
        <f t="shared" si="154"/>
        <v>0</v>
      </c>
      <c r="G291" s="151" t="e">
        <f t="shared" si="155"/>
        <v>#DIV/0!</v>
      </c>
      <c r="H291" s="236"/>
      <c r="I291" s="236"/>
      <c r="J291" s="236"/>
      <c r="K291" s="236">
        <f t="shared" si="156"/>
        <v>0</v>
      </c>
      <c r="L291" s="151" t="e">
        <f t="shared" si="157"/>
        <v>#DIV/0!</v>
      </c>
      <c r="M291" s="234"/>
      <c r="N291" s="234"/>
      <c r="O291" s="234"/>
      <c r="P291" s="236">
        <f t="shared" si="158"/>
        <v>0</v>
      </c>
      <c r="Q291" s="151" t="e">
        <f t="shared" si="159"/>
        <v>#DIV/0!</v>
      </c>
    </row>
    <row r="292" spans="1:17" s="108" customFormat="1" ht="22.5" customHeight="1" hidden="1">
      <c r="A292" s="81" t="s">
        <v>194</v>
      </c>
      <c r="B292" s="81"/>
      <c r="C292" s="234">
        <f t="shared" si="172"/>
        <v>0</v>
      </c>
      <c r="D292" s="234">
        <f t="shared" si="172"/>
        <v>0</v>
      </c>
      <c r="E292" s="234">
        <f t="shared" si="172"/>
        <v>0</v>
      </c>
      <c r="F292" s="236">
        <f t="shared" si="154"/>
        <v>0</v>
      </c>
      <c r="G292" s="151" t="e">
        <f t="shared" si="155"/>
        <v>#DIV/0!</v>
      </c>
      <c r="H292" s="236"/>
      <c r="I292" s="236"/>
      <c r="J292" s="236"/>
      <c r="K292" s="236">
        <f t="shared" si="156"/>
        <v>0</v>
      </c>
      <c r="L292" s="151" t="e">
        <f t="shared" si="157"/>
        <v>#DIV/0!</v>
      </c>
      <c r="M292" s="234"/>
      <c r="N292" s="234"/>
      <c r="O292" s="234"/>
      <c r="P292" s="236">
        <f t="shared" si="158"/>
        <v>0</v>
      </c>
      <c r="Q292" s="151" t="e">
        <f t="shared" si="159"/>
        <v>#DIV/0!</v>
      </c>
    </row>
    <row r="293" spans="1:17" s="108" customFormat="1" ht="22.5" customHeight="1" hidden="1">
      <c r="A293" s="81" t="s">
        <v>306</v>
      </c>
      <c r="B293" s="81" t="s">
        <v>305</v>
      </c>
      <c r="C293" s="234">
        <f>C295-C294</f>
        <v>0</v>
      </c>
      <c r="D293" s="234">
        <f>D295-D294</f>
        <v>0</v>
      </c>
      <c r="E293" s="234">
        <f>E295-E294</f>
        <v>0</v>
      </c>
      <c r="F293" s="236">
        <f t="shared" si="154"/>
        <v>0</v>
      </c>
      <c r="G293" s="151" t="e">
        <f t="shared" si="155"/>
        <v>#DIV/0!</v>
      </c>
      <c r="H293" s="234">
        <f>H295-H294</f>
        <v>0</v>
      </c>
      <c r="I293" s="234">
        <f>I295-I294</f>
        <v>0</v>
      </c>
      <c r="J293" s="234">
        <f>J295-J294</f>
        <v>0</v>
      </c>
      <c r="K293" s="236">
        <f t="shared" si="156"/>
        <v>0</v>
      </c>
      <c r="L293" s="151" t="e">
        <f t="shared" si="157"/>
        <v>#DIV/0!</v>
      </c>
      <c r="M293" s="234">
        <f>M295-M294</f>
        <v>0</v>
      </c>
      <c r="N293" s="234">
        <f>N295-N294</f>
        <v>0</v>
      </c>
      <c r="O293" s="234">
        <f>O295-O294</f>
        <v>0</v>
      </c>
      <c r="P293" s="236">
        <f t="shared" si="158"/>
        <v>0</v>
      </c>
      <c r="Q293" s="151" t="e">
        <f t="shared" si="159"/>
        <v>#DIV/0!</v>
      </c>
    </row>
    <row r="294" spans="1:17" s="108" customFormat="1" ht="22.5" customHeight="1" hidden="1">
      <c r="A294" s="81" t="s">
        <v>193</v>
      </c>
      <c r="B294" s="81"/>
      <c r="C294" s="234">
        <f aca="true" t="shared" si="173" ref="C294:E295">H294+M294</f>
        <v>0</v>
      </c>
      <c r="D294" s="234">
        <f t="shared" si="173"/>
        <v>0</v>
      </c>
      <c r="E294" s="234">
        <f t="shared" si="173"/>
        <v>0</v>
      </c>
      <c r="F294" s="236">
        <f t="shared" si="154"/>
        <v>0</v>
      </c>
      <c r="G294" s="151" t="e">
        <f t="shared" si="155"/>
        <v>#DIV/0!</v>
      </c>
      <c r="H294" s="236"/>
      <c r="I294" s="236"/>
      <c r="J294" s="236"/>
      <c r="K294" s="236">
        <f t="shared" si="156"/>
        <v>0</v>
      </c>
      <c r="L294" s="151" t="e">
        <f t="shared" si="157"/>
        <v>#DIV/0!</v>
      </c>
      <c r="M294" s="234"/>
      <c r="N294" s="234"/>
      <c r="O294" s="234"/>
      <c r="P294" s="236">
        <f t="shared" si="158"/>
        <v>0</v>
      </c>
      <c r="Q294" s="151" t="e">
        <f t="shared" si="159"/>
        <v>#DIV/0!</v>
      </c>
    </row>
    <row r="295" spans="1:17" s="108" customFormat="1" ht="22.5" customHeight="1" hidden="1">
      <c r="A295" s="81" t="s">
        <v>194</v>
      </c>
      <c r="B295" s="81"/>
      <c r="C295" s="234">
        <f t="shared" si="173"/>
        <v>0</v>
      </c>
      <c r="D295" s="234">
        <f t="shared" si="173"/>
        <v>0</v>
      </c>
      <c r="E295" s="234">
        <f t="shared" si="173"/>
        <v>0</v>
      </c>
      <c r="F295" s="236">
        <f t="shared" si="154"/>
        <v>0</v>
      </c>
      <c r="G295" s="151" t="e">
        <f t="shared" si="155"/>
        <v>#DIV/0!</v>
      </c>
      <c r="H295" s="236"/>
      <c r="I295" s="236"/>
      <c r="J295" s="236"/>
      <c r="K295" s="236">
        <f t="shared" si="156"/>
        <v>0</v>
      </c>
      <c r="L295" s="151" t="e">
        <f t="shared" si="157"/>
        <v>#DIV/0!</v>
      </c>
      <c r="M295" s="234"/>
      <c r="N295" s="234"/>
      <c r="O295" s="234"/>
      <c r="P295" s="236">
        <f t="shared" si="158"/>
        <v>0</v>
      </c>
      <c r="Q295" s="151" t="e">
        <f t="shared" si="159"/>
        <v>#DIV/0!</v>
      </c>
    </row>
    <row r="296" spans="1:17" s="108" customFormat="1" ht="22.5" customHeight="1" hidden="1">
      <c r="A296" s="81" t="s">
        <v>182</v>
      </c>
      <c r="B296" s="81" t="s">
        <v>181</v>
      </c>
      <c r="C296" s="234">
        <f>C298-C297</f>
        <v>0</v>
      </c>
      <c r="D296" s="234">
        <f>D298-D297</f>
        <v>0</v>
      </c>
      <c r="E296" s="234">
        <f>E298-E297</f>
        <v>0</v>
      </c>
      <c r="F296" s="236">
        <f t="shared" si="154"/>
        <v>0</v>
      </c>
      <c r="G296" s="151" t="e">
        <f t="shared" si="155"/>
        <v>#DIV/0!</v>
      </c>
      <c r="H296" s="234">
        <f>H298-H297</f>
        <v>0</v>
      </c>
      <c r="I296" s="234">
        <f>I298-I297</f>
        <v>0</v>
      </c>
      <c r="J296" s="234">
        <f>J298-J297</f>
        <v>0</v>
      </c>
      <c r="K296" s="236">
        <f t="shared" si="156"/>
        <v>0</v>
      </c>
      <c r="L296" s="151" t="e">
        <f t="shared" si="157"/>
        <v>#DIV/0!</v>
      </c>
      <c r="M296" s="234">
        <f>M298-M297</f>
        <v>0</v>
      </c>
      <c r="N296" s="234">
        <f>N298-N297</f>
        <v>0</v>
      </c>
      <c r="O296" s="234">
        <f>O298-O297</f>
        <v>0</v>
      </c>
      <c r="P296" s="236">
        <f t="shared" si="158"/>
        <v>0</v>
      </c>
      <c r="Q296" s="151" t="e">
        <f t="shared" si="159"/>
        <v>#DIV/0!</v>
      </c>
    </row>
    <row r="297" spans="1:17" s="108" customFormat="1" ht="22.5" customHeight="1" hidden="1">
      <c r="A297" s="81" t="s">
        <v>193</v>
      </c>
      <c r="B297" s="81"/>
      <c r="C297" s="234">
        <f aca="true" t="shared" si="174" ref="C297:E298">H297+M297</f>
        <v>0</v>
      </c>
      <c r="D297" s="234">
        <f t="shared" si="174"/>
        <v>0</v>
      </c>
      <c r="E297" s="234">
        <f t="shared" si="174"/>
        <v>0</v>
      </c>
      <c r="F297" s="236">
        <f t="shared" si="154"/>
        <v>0</v>
      </c>
      <c r="G297" s="151" t="e">
        <f t="shared" si="155"/>
        <v>#DIV/0!</v>
      </c>
      <c r="H297" s="236"/>
      <c r="I297" s="236"/>
      <c r="J297" s="236"/>
      <c r="K297" s="236">
        <f t="shared" si="156"/>
        <v>0</v>
      </c>
      <c r="L297" s="151" t="e">
        <f t="shared" si="157"/>
        <v>#DIV/0!</v>
      </c>
      <c r="M297" s="234"/>
      <c r="N297" s="234"/>
      <c r="O297" s="234"/>
      <c r="P297" s="236">
        <f t="shared" si="158"/>
        <v>0</v>
      </c>
      <c r="Q297" s="151" t="e">
        <f t="shared" si="159"/>
        <v>#DIV/0!</v>
      </c>
    </row>
    <row r="298" spans="1:17" s="108" customFormat="1" ht="22.5" customHeight="1" hidden="1">
      <c r="A298" s="81" t="s">
        <v>194</v>
      </c>
      <c r="B298" s="81"/>
      <c r="C298" s="234">
        <f t="shared" si="174"/>
        <v>0</v>
      </c>
      <c r="D298" s="234">
        <f t="shared" si="174"/>
        <v>0</v>
      </c>
      <c r="E298" s="234">
        <f t="shared" si="174"/>
        <v>0</v>
      </c>
      <c r="F298" s="236">
        <f t="shared" si="154"/>
        <v>0</v>
      </c>
      <c r="G298" s="151" t="e">
        <f t="shared" si="155"/>
        <v>#DIV/0!</v>
      </c>
      <c r="H298" s="236"/>
      <c r="I298" s="236"/>
      <c r="J298" s="236"/>
      <c r="K298" s="236">
        <f t="shared" si="156"/>
        <v>0</v>
      </c>
      <c r="L298" s="151" t="e">
        <f t="shared" si="157"/>
        <v>#DIV/0!</v>
      </c>
      <c r="M298" s="234"/>
      <c r="N298" s="234"/>
      <c r="O298" s="234"/>
      <c r="P298" s="236">
        <f t="shared" si="158"/>
        <v>0</v>
      </c>
      <c r="Q298" s="151" t="e">
        <f t="shared" si="159"/>
        <v>#DIV/0!</v>
      </c>
    </row>
    <row r="299" spans="1:17" s="107" customFormat="1" ht="22.5" customHeight="1">
      <c r="A299" s="80" t="s">
        <v>190</v>
      </c>
      <c r="B299" s="80"/>
      <c r="C299" s="233">
        <f>C301-C300</f>
        <v>1781.9</v>
      </c>
      <c r="D299" s="233">
        <f>D301-D300</f>
        <v>5135.65</v>
      </c>
      <c r="E299" s="233">
        <f>E301-E300</f>
        <v>3415.888</v>
      </c>
      <c r="F299" s="210">
        <f t="shared" si="154"/>
        <v>-1719.7619999999997</v>
      </c>
      <c r="G299" s="150">
        <f t="shared" si="155"/>
        <v>66.51325538149992</v>
      </c>
      <c r="H299" s="233">
        <f>H301-H300</f>
        <v>1581.9</v>
      </c>
      <c r="I299" s="233">
        <f>I301-I300</f>
        <v>4638.75</v>
      </c>
      <c r="J299" s="233">
        <f>J301-J300</f>
        <v>3308.388</v>
      </c>
      <c r="K299" s="210">
        <f t="shared" si="156"/>
        <v>-1330.362</v>
      </c>
      <c r="L299" s="150">
        <f t="shared" si="157"/>
        <v>71.32067906224736</v>
      </c>
      <c r="M299" s="233">
        <f>M301-M300</f>
        <v>200</v>
      </c>
      <c r="N299" s="233">
        <f>N301-N300</f>
        <v>496.9</v>
      </c>
      <c r="O299" s="233">
        <f>O301-O300</f>
        <v>107.5</v>
      </c>
      <c r="P299" s="210">
        <f t="shared" si="158"/>
        <v>-389.4</v>
      </c>
      <c r="Q299" s="150">
        <f t="shared" si="159"/>
        <v>21.63413161601932</v>
      </c>
    </row>
    <row r="300" spans="1:17" s="107" customFormat="1" ht="22.5" customHeight="1" hidden="1">
      <c r="A300" s="80" t="s">
        <v>193</v>
      </c>
      <c r="B300" s="80"/>
      <c r="C300" s="233">
        <f aca="true" t="shared" si="175" ref="C300:E301">H300+M300</f>
        <v>0</v>
      </c>
      <c r="D300" s="233">
        <f t="shared" si="175"/>
        <v>0</v>
      </c>
      <c r="E300" s="233">
        <f t="shared" si="175"/>
        <v>0</v>
      </c>
      <c r="F300" s="210">
        <f t="shared" si="154"/>
        <v>0</v>
      </c>
      <c r="G300" s="150" t="e">
        <f t="shared" si="155"/>
        <v>#DIV/0!</v>
      </c>
      <c r="H300" s="210"/>
      <c r="I300" s="210"/>
      <c r="J300" s="210"/>
      <c r="K300" s="210">
        <f t="shared" si="156"/>
        <v>0</v>
      </c>
      <c r="L300" s="150" t="e">
        <f t="shared" si="157"/>
        <v>#DIV/0!</v>
      </c>
      <c r="M300" s="233"/>
      <c r="N300" s="233"/>
      <c r="O300" s="233"/>
      <c r="P300" s="210">
        <f t="shared" si="158"/>
        <v>0</v>
      </c>
      <c r="Q300" s="150" t="e">
        <f t="shared" si="159"/>
        <v>#DIV/0!</v>
      </c>
    </row>
    <row r="301" spans="1:17" s="107" customFormat="1" ht="22.5" customHeight="1">
      <c r="A301" s="80" t="s">
        <v>194</v>
      </c>
      <c r="B301" s="80"/>
      <c r="C301" s="233">
        <f t="shared" si="175"/>
        <v>1781.9</v>
      </c>
      <c r="D301" s="233">
        <f t="shared" si="175"/>
        <v>5135.65</v>
      </c>
      <c r="E301" s="233">
        <f t="shared" si="175"/>
        <v>3415.888</v>
      </c>
      <c r="F301" s="210">
        <f t="shared" si="154"/>
        <v>-1719.7619999999997</v>
      </c>
      <c r="G301" s="150">
        <f t="shared" si="155"/>
        <v>66.51325538149992</v>
      </c>
      <c r="H301" s="210">
        <v>1581.9</v>
      </c>
      <c r="I301" s="210">
        <v>4638.75</v>
      </c>
      <c r="J301" s="210">
        <v>3308.388</v>
      </c>
      <c r="K301" s="210">
        <f t="shared" si="156"/>
        <v>-1330.362</v>
      </c>
      <c r="L301" s="150">
        <f t="shared" si="157"/>
        <v>71.32067906224736</v>
      </c>
      <c r="M301" s="233">
        <v>200</v>
      </c>
      <c r="N301" s="233">
        <v>496.9</v>
      </c>
      <c r="O301" s="233">
        <v>107.5</v>
      </c>
      <c r="P301" s="210">
        <f t="shared" si="158"/>
        <v>-389.4</v>
      </c>
      <c r="Q301" s="150">
        <f t="shared" si="159"/>
        <v>21.63413161601932</v>
      </c>
    </row>
    <row r="302" spans="1:17" s="108" customFormat="1" ht="22.5" customHeight="1">
      <c r="A302" s="81"/>
      <c r="B302" s="109"/>
      <c r="C302" s="234"/>
      <c r="D302" s="234"/>
      <c r="E302" s="236"/>
      <c r="F302" s="210"/>
      <c r="G302" s="150"/>
      <c r="H302" s="236"/>
      <c r="I302" s="236"/>
      <c r="J302" s="236"/>
      <c r="K302" s="210"/>
      <c r="L302" s="150"/>
      <c r="M302" s="234"/>
      <c r="N302" s="234"/>
      <c r="O302" s="234"/>
      <c r="P302" s="210"/>
      <c r="Q302" s="150"/>
    </row>
    <row r="303" spans="1:17" s="107" customFormat="1" ht="22.5" customHeight="1">
      <c r="A303" s="80" t="s">
        <v>25</v>
      </c>
      <c r="B303" s="80"/>
      <c r="C303" s="233">
        <f>C305-C304</f>
        <v>39208392.1</v>
      </c>
      <c r="D303" s="233">
        <f>D305-D304</f>
        <v>46551680.35</v>
      </c>
      <c r="E303" s="233">
        <f>E305-E304</f>
        <v>41067873.984</v>
      </c>
      <c r="F303" s="210">
        <f aca="true" t="shared" si="176" ref="F303:F338">E303-D303</f>
        <v>-5483806.366000004</v>
      </c>
      <c r="G303" s="150">
        <f aca="true" t="shared" si="177" ref="G303:G338">E303/D303*100</f>
        <v>88.21996042941981</v>
      </c>
      <c r="H303" s="233">
        <f>H305-H304</f>
        <v>35826006</v>
      </c>
      <c r="I303" s="233">
        <f>I305-I304</f>
        <v>41785510.839999996</v>
      </c>
      <c r="J303" s="233">
        <f>J305-J304</f>
        <v>37339357.12</v>
      </c>
      <c r="K303" s="210">
        <f aca="true" t="shared" si="178" ref="K303:K338">J303-I303</f>
        <v>-4446153.719999999</v>
      </c>
      <c r="L303" s="150">
        <f aca="true" t="shared" si="179" ref="L303:L338">J303/I303*100</f>
        <v>89.35958031714708</v>
      </c>
      <c r="M303" s="233">
        <f>M305-M304</f>
        <v>3382386.1000000006</v>
      </c>
      <c r="N303" s="233">
        <f>N305-N304</f>
        <v>4766169.51</v>
      </c>
      <c r="O303" s="233">
        <f>O305-O304</f>
        <v>3728516.8639999996</v>
      </c>
      <c r="P303" s="210">
        <f aca="true" t="shared" si="180" ref="P303:P338">O303-N303</f>
        <v>-1037652.6460000002</v>
      </c>
      <c r="Q303" s="150">
        <f aca="true" t="shared" si="181" ref="Q303:Q338">O303/N303*100</f>
        <v>78.22879266415347</v>
      </c>
    </row>
    <row r="304" spans="1:17" s="107" customFormat="1" ht="22.5" customHeight="1">
      <c r="A304" s="80" t="s">
        <v>193</v>
      </c>
      <c r="B304" s="79"/>
      <c r="C304" s="233">
        <f aca="true" t="shared" si="182" ref="C304:E305">C307+C337</f>
        <v>4708.3</v>
      </c>
      <c r="D304" s="233">
        <f t="shared" si="182"/>
        <v>31855.300000000003</v>
      </c>
      <c r="E304" s="233">
        <f t="shared" si="182"/>
        <v>45409.515</v>
      </c>
      <c r="F304" s="210">
        <f t="shared" si="176"/>
        <v>13554.214999999997</v>
      </c>
      <c r="G304" s="150">
        <f t="shared" si="177"/>
        <v>142.5493246021855</v>
      </c>
      <c r="H304" s="353">
        <f aca="true" t="shared" si="183" ref="H304:J305">H307+H337</f>
        <v>0</v>
      </c>
      <c r="I304" s="353">
        <f t="shared" si="183"/>
        <v>0</v>
      </c>
      <c r="J304" s="233">
        <f t="shared" si="183"/>
        <v>5271.07</v>
      </c>
      <c r="K304" s="210">
        <f t="shared" si="178"/>
        <v>5271.07</v>
      </c>
      <c r="L304" s="342" t="e">
        <f t="shared" si="179"/>
        <v>#DIV/0!</v>
      </c>
      <c r="M304" s="233">
        <f aca="true" t="shared" si="184" ref="M304:O305">M307+M337</f>
        <v>4708.3</v>
      </c>
      <c r="N304" s="233">
        <f t="shared" si="184"/>
        <v>31855.300000000003</v>
      </c>
      <c r="O304" s="233">
        <f t="shared" si="184"/>
        <v>40138.445</v>
      </c>
      <c r="P304" s="210">
        <f t="shared" si="180"/>
        <v>8283.144999999997</v>
      </c>
      <c r="Q304" s="150">
        <f t="shared" si="181"/>
        <v>126.00240776260149</v>
      </c>
    </row>
    <row r="305" spans="1:17" s="107" customFormat="1" ht="22.5" customHeight="1">
      <c r="A305" s="80" t="s">
        <v>194</v>
      </c>
      <c r="B305" s="80"/>
      <c r="C305" s="233">
        <f t="shared" si="182"/>
        <v>39213100.4</v>
      </c>
      <c r="D305" s="233">
        <f t="shared" si="182"/>
        <v>46583535.65</v>
      </c>
      <c r="E305" s="233">
        <f t="shared" si="182"/>
        <v>41113283.499</v>
      </c>
      <c r="F305" s="210">
        <f t="shared" si="176"/>
        <v>-5470252.151000001</v>
      </c>
      <c r="G305" s="150">
        <f t="shared" si="177"/>
        <v>88.25711257277655</v>
      </c>
      <c r="H305" s="233">
        <f t="shared" si="183"/>
        <v>35826006</v>
      </c>
      <c r="I305" s="233">
        <f t="shared" si="183"/>
        <v>41785510.839999996</v>
      </c>
      <c r="J305" s="233">
        <f t="shared" si="183"/>
        <v>37344628.19</v>
      </c>
      <c r="K305" s="210">
        <f t="shared" si="178"/>
        <v>-4440882.6499999985</v>
      </c>
      <c r="L305" s="150">
        <f t="shared" si="179"/>
        <v>89.37219490506054</v>
      </c>
      <c r="M305" s="233">
        <f t="shared" si="184"/>
        <v>3387094.4000000004</v>
      </c>
      <c r="N305" s="233">
        <f t="shared" si="184"/>
        <v>4798024.81</v>
      </c>
      <c r="O305" s="233">
        <f t="shared" si="184"/>
        <v>3768655.3089999994</v>
      </c>
      <c r="P305" s="210">
        <f t="shared" si="180"/>
        <v>-1029369.5010000002</v>
      </c>
      <c r="Q305" s="150">
        <f t="shared" si="181"/>
        <v>78.54597377540446</v>
      </c>
    </row>
    <row r="306" spans="1:17" s="107" customFormat="1" ht="22.5" customHeight="1">
      <c r="A306" s="80" t="s">
        <v>189</v>
      </c>
      <c r="B306" s="80"/>
      <c r="C306" s="233">
        <f>C308-C307</f>
        <v>38032742.300000004</v>
      </c>
      <c r="D306" s="233">
        <f>D308-D307</f>
        <v>43811019.691</v>
      </c>
      <c r="E306" s="233">
        <f>E308-E307</f>
        <v>39398375.625</v>
      </c>
      <c r="F306" s="210">
        <f t="shared" si="176"/>
        <v>-4412644.066</v>
      </c>
      <c r="G306" s="150">
        <f t="shared" si="177"/>
        <v>89.92800419364245</v>
      </c>
      <c r="H306" s="233">
        <f>H308-H307</f>
        <v>34700991.3</v>
      </c>
      <c r="I306" s="233">
        <f>I308-I307</f>
        <v>39256950.088</v>
      </c>
      <c r="J306" s="233">
        <f>J308-J307</f>
        <v>35822229.936</v>
      </c>
      <c r="K306" s="210">
        <f t="shared" si="178"/>
        <v>-3434720.1520000026</v>
      </c>
      <c r="L306" s="150">
        <f t="shared" si="179"/>
        <v>91.25066989590226</v>
      </c>
      <c r="M306" s="233">
        <f>M308-M307</f>
        <v>3331751.0000000005</v>
      </c>
      <c r="N306" s="233">
        <f>N308-N307</f>
        <v>4554069.603</v>
      </c>
      <c r="O306" s="233">
        <f>O308-O307</f>
        <v>3576145.689</v>
      </c>
      <c r="P306" s="210">
        <f t="shared" si="180"/>
        <v>-977923.9140000003</v>
      </c>
      <c r="Q306" s="150">
        <f t="shared" si="181"/>
        <v>78.52637312886498</v>
      </c>
    </row>
    <row r="307" spans="1:17" s="107" customFormat="1" ht="22.5" customHeight="1">
      <c r="A307" s="80" t="s">
        <v>193</v>
      </c>
      <c r="B307" s="80"/>
      <c r="C307" s="233">
        <f aca="true" t="shared" si="185" ref="C307:E308">C310+C313+C316+C319+C322+C325+C328+C331+C334</f>
        <v>4708.3</v>
      </c>
      <c r="D307" s="233">
        <f t="shared" si="185"/>
        <v>31855.300000000003</v>
      </c>
      <c r="E307" s="233">
        <f t="shared" si="185"/>
        <v>45409.515</v>
      </c>
      <c r="F307" s="210">
        <f t="shared" si="176"/>
        <v>13554.214999999997</v>
      </c>
      <c r="G307" s="150">
        <f t="shared" si="177"/>
        <v>142.5493246021855</v>
      </c>
      <c r="H307" s="353">
        <f aca="true" t="shared" si="186" ref="H307:J308">H310+H313+H316+H319+H322+H325+H328+H331+H334</f>
        <v>0</v>
      </c>
      <c r="I307" s="353">
        <f t="shared" si="186"/>
        <v>0</v>
      </c>
      <c r="J307" s="233">
        <f t="shared" si="186"/>
        <v>5271.07</v>
      </c>
      <c r="K307" s="210">
        <f t="shared" si="178"/>
        <v>5271.07</v>
      </c>
      <c r="L307" s="342" t="e">
        <f t="shared" si="179"/>
        <v>#DIV/0!</v>
      </c>
      <c r="M307" s="233">
        <f aca="true" t="shared" si="187" ref="M307:O308">M310+M313+M316+M319+M322+M325+M328+M331+M334</f>
        <v>4708.3</v>
      </c>
      <c r="N307" s="233">
        <f t="shared" si="187"/>
        <v>31855.300000000003</v>
      </c>
      <c r="O307" s="233">
        <f t="shared" si="187"/>
        <v>40138.445</v>
      </c>
      <c r="P307" s="210">
        <f t="shared" si="180"/>
        <v>8283.144999999997</v>
      </c>
      <c r="Q307" s="150">
        <f t="shared" si="181"/>
        <v>126.00240776260149</v>
      </c>
    </row>
    <row r="308" spans="1:17" s="107" customFormat="1" ht="22.5" customHeight="1">
      <c r="A308" s="80" t="s">
        <v>194</v>
      </c>
      <c r="B308" s="80"/>
      <c r="C308" s="233">
        <f t="shared" si="185"/>
        <v>38037450.6</v>
      </c>
      <c r="D308" s="233">
        <f t="shared" si="185"/>
        <v>43842874.991</v>
      </c>
      <c r="E308" s="233">
        <f t="shared" si="185"/>
        <v>39443785.14</v>
      </c>
      <c r="F308" s="210">
        <f t="shared" si="176"/>
        <v>-4399089.850999996</v>
      </c>
      <c r="G308" s="150">
        <f t="shared" si="177"/>
        <v>89.96623772527911</v>
      </c>
      <c r="H308" s="233">
        <f t="shared" si="186"/>
        <v>34700991.3</v>
      </c>
      <c r="I308" s="233">
        <f t="shared" si="186"/>
        <v>39256950.088</v>
      </c>
      <c r="J308" s="233">
        <f t="shared" si="186"/>
        <v>35827501.006</v>
      </c>
      <c r="K308" s="210">
        <f t="shared" si="178"/>
        <v>-3429449.0820000023</v>
      </c>
      <c r="L308" s="150">
        <f t="shared" si="179"/>
        <v>91.2640969960417</v>
      </c>
      <c r="M308" s="233">
        <f t="shared" si="187"/>
        <v>3336459.3000000003</v>
      </c>
      <c r="N308" s="233">
        <f t="shared" si="187"/>
        <v>4585924.903</v>
      </c>
      <c r="O308" s="233">
        <f t="shared" si="187"/>
        <v>3616284.1339999996</v>
      </c>
      <c r="P308" s="210">
        <f t="shared" si="180"/>
        <v>-969640.7690000003</v>
      </c>
      <c r="Q308" s="150">
        <f t="shared" si="181"/>
        <v>78.85615683837986</v>
      </c>
    </row>
    <row r="309" spans="1:17" s="108" customFormat="1" ht="22.5" customHeight="1">
      <c r="A309" s="81" t="s">
        <v>174</v>
      </c>
      <c r="B309" s="81" t="s">
        <v>173</v>
      </c>
      <c r="C309" s="234">
        <f>C311-C310</f>
        <v>35677723.5</v>
      </c>
      <c r="D309" s="234">
        <f>D311-D310</f>
        <v>40810217.875</v>
      </c>
      <c r="E309" s="234">
        <f>E311-E310</f>
        <v>37236126.161</v>
      </c>
      <c r="F309" s="236">
        <f t="shared" si="176"/>
        <v>-3574091.7140000015</v>
      </c>
      <c r="G309" s="151">
        <f t="shared" si="177"/>
        <v>91.24216458498876</v>
      </c>
      <c r="H309" s="234">
        <f>H311-H310</f>
        <v>33085197.9</v>
      </c>
      <c r="I309" s="234">
        <f>I311-I310</f>
        <v>37115248.7</v>
      </c>
      <c r="J309" s="234">
        <f>J311-J310</f>
        <v>34310324.842999995</v>
      </c>
      <c r="K309" s="236">
        <f t="shared" si="178"/>
        <v>-2804923.857000008</v>
      </c>
      <c r="L309" s="151">
        <f t="shared" si="179"/>
        <v>92.44266452402888</v>
      </c>
      <c r="M309" s="234">
        <f>M311-M310</f>
        <v>2592525.6</v>
      </c>
      <c r="N309" s="234">
        <f>N311-N310</f>
        <v>3694969.175</v>
      </c>
      <c r="O309" s="234">
        <f>O311-O310</f>
        <v>2925801.3179999995</v>
      </c>
      <c r="P309" s="236">
        <f t="shared" si="180"/>
        <v>-769167.8570000003</v>
      </c>
      <c r="Q309" s="151">
        <f t="shared" si="181"/>
        <v>79.18337554196239</v>
      </c>
    </row>
    <row r="310" spans="1:17" s="108" customFormat="1" ht="22.5" customHeight="1">
      <c r="A310" s="81" t="s">
        <v>193</v>
      </c>
      <c r="B310" s="81"/>
      <c r="C310" s="357">
        <f aca="true" t="shared" si="188" ref="C310:E311">H310+M310</f>
        <v>0</v>
      </c>
      <c r="D310" s="234">
        <f t="shared" si="188"/>
        <v>2135</v>
      </c>
      <c r="E310" s="234">
        <f t="shared" si="188"/>
        <v>2600.5609999999997</v>
      </c>
      <c r="F310" s="236">
        <f t="shared" si="176"/>
        <v>465.5609999999997</v>
      </c>
      <c r="G310" s="151">
        <f t="shared" si="177"/>
        <v>121.80613583138171</v>
      </c>
      <c r="H310" s="356">
        <f>H12+H51+H88+H125+H162+H199+H236+H273</f>
        <v>0</v>
      </c>
      <c r="I310" s="356">
        <f>I12+I51+I88+I125+I162+I199+I236+I273</f>
        <v>0</v>
      </c>
      <c r="J310" s="236">
        <f>J12+J51+J88+J125+J162+J199+J236+J273</f>
        <v>1138.25</v>
      </c>
      <c r="K310" s="236">
        <f t="shared" si="178"/>
        <v>1138.25</v>
      </c>
      <c r="L310" s="338" t="e">
        <f t="shared" si="179"/>
        <v>#DIV/0!</v>
      </c>
      <c r="M310" s="356">
        <f>M12+M51+M88+M125+M162+M199+M236+M273</f>
        <v>0</v>
      </c>
      <c r="N310" s="236">
        <f>N12+N51+N88+N125+N162+N199+N236+N273</f>
        <v>2135</v>
      </c>
      <c r="O310" s="236">
        <f>O12+O51+O88+O125+O162+O199+O236+O273</f>
        <v>1462.311</v>
      </c>
      <c r="P310" s="236">
        <f t="shared" si="180"/>
        <v>-672.6890000000001</v>
      </c>
      <c r="Q310" s="151">
        <f t="shared" si="181"/>
        <v>68.49231850117096</v>
      </c>
    </row>
    <row r="311" spans="1:17" s="108" customFormat="1" ht="22.5" customHeight="1">
      <c r="A311" s="81" t="s">
        <v>194</v>
      </c>
      <c r="B311" s="81"/>
      <c r="C311" s="234">
        <f t="shared" si="188"/>
        <v>35677723.5</v>
      </c>
      <c r="D311" s="234">
        <f t="shared" si="188"/>
        <v>40812352.875</v>
      </c>
      <c r="E311" s="234">
        <f t="shared" si="188"/>
        <v>37238726.721999995</v>
      </c>
      <c r="F311" s="236">
        <f t="shared" si="176"/>
        <v>-3573626.1530000046</v>
      </c>
      <c r="G311" s="151">
        <f t="shared" si="177"/>
        <v>91.24376346557304</v>
      </c>
      <c r="H311" s="236">
        <f>H13+279878.1+162513.9+H52+H89+H126+H163+H200+H237+H274</f>
        <v>33085197.9</v>
      </c>
      <c r="I311" s="236">
        <f>I13+1782308.8+1511922.1+I52+I89+I126+I163+I200+I237+I274</f>
        <v>37115248.7</v>
      </c>
      <c r="J311" s="236">
        <f>J13+1619812.2+1455905.7+J52+J89+J126+J163+J200+J237+J274</f>
        <v>34311463.092999995</v>
      </c>
      <c r="K311" s="236">
        <f t="shared" si="178"/>
        <v>-2803785.607000008</v>
      </c>
      <c r="L311" s="151">
        <f t="shared" si="179"/>
        <v>92.44573132282417</v>
      </c>
      <c r="M311" s="236">
        <f>M13+18000+M52+M89+M126+M163+M200+M237+M274</f>
        <v>2592525.6</v>
      </c>
      <c r="N311" s="236">
        <f>N13+160+N52+N89+N126+N163+N200+N237+N274</f>
        <v>3697104.175</v>
      </c>
      <c r="O311" s="236">
        <f>O13+100+O52+O89+O126+O163+O200+O237+O274</f>
        <v>2927263.6289999997</v>
      </c>
      <c r="P311" s="236">
        <f t="shared" si="180"/>
        <v>-769840.5460000001</v>
      </c>
      <c r="Q311" s="151">
        <f t="shared" si="181"/>
        <v>79.1772016810968</v>
      </c>
    </row>
    <row r="312" spans="1:17" s="108" customFormat="1" ht="22.5" customHeight="1">
      <c r="A312" s="81" t="s">
        <v>176</v>
      </c>
      <c r="B312" s="81" t="s">
        <v>175</v>
      </c>
      <c r="C312" s="234">
        <f>C314-C313</f>
        <v>2087866.1</v>
      </c>
      <c r="D312" s="234">
        <f>D314-D313</f>
        <v>2571202.916</v>
      </c>
      <c r="E312" s="234">
        <f>E314-E313</f>
        <v>1901214.349</v>
      </c>
      <c r="F312" s="236">
        <f t="shared" si="176"/>
        <v>-669988.5670000003</v>
      </c>
      <c r="G312" s="151">
        <f t="shared" si="177"/>
        <v>73.94260239707972</v>
      </c>
      <c r="H312" s="234">
        <f>H314-H313</f>
        <v>1370893.4</v>
      </c>
      <c r="I312" s="234">
        <f>I314-I313</f>
        <v>1704733.188</v>
      </c>
      <c r="J312" s="234">
        <f>J314-J313</f>
        <v>1232542.521</v>
      </c>
      <c r="K312" s="236">
        <f t="shared" si="178"/>
        <v>-472190.66700000013</v>
      </c>
      <c r="L312" s="151">
        <f t="shared" si="179"/>
        <v>72.30119819782612</v>
      </c>
      <c r="M312" s="234">
        <f>M314-M313</f>
        <v>716972.7000000001</v>
      </c>
      <c r="N312" s="234">
        <f>N314-N313</f>
        <v>866469.728</v>
      </c>
      <c r="O312" s="234">
        <f>O314-O313</f>
        <v>668671.828</v>
      </c>
      <c r="P312" s="236">
        <f t="shared" si="180"/>
        <v>-197797.90000000002</v>
      </c>
      <c r="Q312" s="151">
        <f t="shared" si="181"/>
        <v>77.17197801513962</v>
      </c>
    </row>
    <row r="313" spans="1:17" s="108" customFormat="1" ht="22.5" customHeight="1">
      <c r="A313" s="81" t="s">
        <v>193</v>
      </c>
      <c r="B313" s="81"/>
      <c r="C313" s="357">
        <f aca="true" t="shared" si="189" ref="C313:E314">H313+M313</f>
        <v>0</v>
      </c>
      <c r="D313" s="234">
        <f t="shared" si="189"/>
        <v>5</v>
      </c>
      <c r="E313" s="234">
        <f t="shared" si="189"/>
        <v>5063.571</v>
      </c>
      <c r="F313" s="236">
        <f t="shared" si="176"/>
        <v>5058.571</v>
      </c>
      <c r="G313" s="338">
        <f t="shared" si="177"/>
        <v>101271.42</v>
      </c>
      <c r="H313" s="356">
        <f>H15+H54+H91+H128+H165+H202+H239+H276</f>
        <v>0</v>
      </c>
      <c r="I313" s="356">
        <f>I15+I54+I91+I128+I165+I202+I239+I276</f>
        <v>0</v>
      </c>
      <c r="J313" s="236">
        <f>J15+60+2129.35+J54+J91+J128+J165+J202+J239+J276</f>
        <v>4132.82</v>
      </c>
      <c r="K313" s="236">
        <f t="shared" si="178"/>
        <v>4132.82</v>
      </c>
      <c r="L313" s="338" t="e">
        <f t="shared" si="179"/>
        <v>#DIV/0!</v>
      </c>
      <c r="M313" s="356">
        <f>M15+M54+M91+M128+M165+M202+M239+M276</f>
        <v>0</v>
      </c>
      <c r="N313" s="236">
        <f>N15+N54+N91+N128+N165+N202+N239+N276</f>
        <v>5</v>
      </c>
      <c r="O313" s="236">
        <f>O15+O54+O91+O128+O165+O202+O239+O276</f>
        <v>930.751</v>
      </c>
      <c r="P313" s="236">
        <f t="shared" si="180"/>
        <v>925.751</v>
      </c>
      <c r="Q313" s="338">
        <f t="shared" si="181"/>
        <v>18615.019999999997</v>
      </c>
    </row>
    <row r="314" spans="1:17" s="108" customFormat="1" ht="22.5" customHeight="1">
      <c r="A314" s="81" t="s">
        <v>194</v>
      </c>
      <c r="B314" s="81"/>
      <c r="C314" s="234">
        <f t="shared" si="189"/>
        <v>2087866.1</v>
      </c>
      <c r="D314" s="234">
        <f t="shared" si="189"/>
        <v>2571207.916</v>
      </c>
      <c r="E314" s="234">
        <f t="shared" si="189"/>
        <v>1906277.92</v>
      </c>
      <c r="F314" s="236">
        <f t="shared" si="176"/>
        <v>-664929.9960000003</v>
      </c>
      <c r="G314" s="151">
        <f t="shared" si="177"/>
        <v>74.13939215641399</v>
      </c>
      <c r="H314" s="236">
        <f>H16+370964.4+219906.6+H55+H92+H129+H166+H203+H240+H277</f>
        <v>1370893.4</v>
      </c>
      <c r="I314" s="236">
        <f>I16+169591+289473.3+I55+I92+I129+I166+I203+I240+I277</f>
        <v>1704733.188</v>
      </c>
      <c r="J314" s="236">
        <f>J16+117222.8+274872.71+J55+J92+J129+J166+J203+J240+J277</f>
        <v>1236675.341</v>
      </c>
      <c r="K314" s="236">
        <f t="shared" si="178"/>
        <v>-468057.84700000007</v>
      </c>
      <c r="L314" s="151">
        <f t="shared" si="179"/>
        <v>72.54363027042798</v>
      </c>
      <c r="M314" s="236">
        <f>M16+474+50+M55+M92+M129+M166+M203+M240+M277</f>
        <v>716972.7000000001</v>
      </c>
      <c r="N314" s="236">
        <f>N16+1005.1+50+N55+N92+N129+N166+N203+N240+N277</f>
        <v>866474.728</v>
      </c>
      <c r="O314" s="236">
        <f>O16+517.6+47.5+O55+O92+O129+O166+O203+O240+O277</f>
        <v>669602.579</v>
      </c>
      <c r="P314" s="236">
        <f t="shared" si="180"/>
        <v>-196872.14899999998</v>
      </c>
      <c r="Q314" s="151">
        <f t="shared" si="181"/>
        <v>77.27895082936568</v>
      </c>
    </row>
    <row r="315" spans="1:17" s="108" customFormat="1" ht="22.5" customHeight="1">
      <c r="A315" s="81" t="s">
        <v>178</v>
      </c>
      <c r="B315" s="81" t="s">
        <v>177</v>
      </c>
      <c r="C315" s="234">
        <f>C317-C316</f>
        <v>36883.4</v>
      </c>
      <c r="D315" s="234">
        <f>D317-D316</f>
        <v>96259.59999999999</v>
      </c>
      <c r="E315" s="234">
        <f>E317-E316</f>
        <v>60674.181</v>
      </c>
      <c r="F315" s="236">
        <f t="shared" si="176"/>
        <v>-35585.418999999994</v>
      </c>
      <c r="G315" s="151">
        <f t="shared" si="177"/>
        <v>63.03182331944035</v>
      </c>
      <c r="H315" s="234">
        <f>H317-H316</f>
        <v>24429</v>
      </c>
      <c r="I315" s="234">
        <f>I317-I316</f>
        <v>82242.9</v>
      </c>
      <c r="J315" s="234">
        <f>J317-J316</f>
        <v>49569.893</v>
      </c>
      <c r="K315" s="236">
        <f t="shared" si="178"/>
        <v>-32673.006999999998</v>
      </c>
      <c r="L315" s="151">
        <f t="shared" si="179"/>
        <v>60.27254997087894</v>
      </c>
      <c r="M315" s="234">
        <f>M317-M316</f>
        <v>12454.4</v>
      </c>
      <c r="N315" s="234">
        <f>N317-N316</f>
        <v>14016.7</v>
      </c>
      <c r="O315" s="234">
        <f>O317-O316</f>
        <v>11104.288000000002</v>
      </c>
      <c r="P315" s="236">
        <f t="shared" si="180"/>
        <v>-2912.4119999999984</v>
      </c>
      <c r="Q315" s="151">
        <f t="shared" si="181"/>
        <v>79.22184251642685</v>
      </c>
    </row>
    <row r="316" spans="1:17" s="108" customFormat="1" ht="22.5" customHeight="1">
      <c r="A316" s="81" t="s">
        <v>193</v>
      </c>
      <c r="B316" s="81"/>
      <c r="C316" s="357">
        <f aca="true" t="shared" si="190" ref="C316:E317">H316+M316</f>
        <v>0</v>
      </c>
      <c r="D316" s="234">
        <f t="shared" si="190"/>
        <v>240</v>
      </c>
      <c r="E316" s="234">
        <f t="shared" si="190"/>
        <v>287.9</v>
      </c>
      <c r="F316" s="236">
        <f t="shared" si="176"/>
        <v>47.89999999999998</v>
      </c>
      <c r="G316" s="151">
        <f t="shared" si="177"/>
        <v>119.95833333333333</v>
      </c>
      <c r="H316" s="356">
        <f>H18+H57+H94+H131+H168+H205+H242+H279</f>
        <v>0</v>
      </c>
      <c r="I316" s="356">
        <f>I18+I57+I94+I131+I168+I205+I242+I279</f>
        <v>0</v>
      </c>
      <c r="J316" s="356">
        <f>J18+J57+J94+J131+J168+J205+J242+J279</f>
        <v>0</v>
      </c>
      <c r="K316" s="356">
        <f t="shared" si="178"/>
        <v>0</v>
      </c>
      <c r="L316" s="338" t="e">
        <f t="shared" si="179"/>
        <v>#DIV/0!</v>
      </c>
      <c r="M316" s="356">
        <f aca="true" t="shared" si="191" ref="M316:O317">M18+M57+M94+M131+M168+M205+M242+M279</f>
        <v>0</v>
      </c>
      <c r="N316" s="236">
        <f t="shared" si="191"/>
        <v>240</v>
      </c>
      <c r="O316" s="236">
        <f t="shared" si="191"/>
        <v>287.9</v>
      </c>
      <c r="P316" s="236">
        <f t="shared" si="180"/>
        <v>47.89999999999998</v>
      </c>
      <c r="Q316" s="151">
        <f t="shared" si="181"/>
        <v>119.95833333333333</v>
      </c>
    </row>
    <row r="317" spans="1:17" s="108" customFormat="1" ht="22.5" customHeight="1">
      <c r="A317" s="81" t="s">
        <v>194</v>
      </c>
      <c r="B317" s="81"/>
      <c r="C317" s="234">
        <f t="shared" si="190"/>
        <v>36883.4</v>
      </c>
      <c r="D317" s="234">
        <f t="shared" si="190"/>
        <v>96499.59999999999</v>
      </c>
      <c r="E317" s="234">
        <f t="shared" si="190"/>
        <v>60962.081</v>
      </c>
      <c r="F317" s="236">
        <f t="shared" si="176"/>
        <v>-35537.51899999999</v>
      </c>
      <c r="G317" s="151">
        <f t="shared" si="177"/>
        <v>63.17340279130691</v>
      </c>
      <c r="H317" s="236">
        <f>H19+500+H58+H95+H132+H169+H206+H243+H280</f>
        <v>24429</v>
      </c>
      <c r="I317" s="236">
        <f>I19+500+132+I58+I95+I132+I169+I206+I243+I280</f>
        <v>82242.9</v>
      </c>
      <c r="J317" s="236">
        <f>J19+500+130.5+J58+J95+J132+J169+J206+J243+J280</f>
        <v>49569.893</v>
      </c>
      <c r="K317" s="236">
        <f t="shared" si="178"/>
        <v>-32673.006999999998</v>
      </c>
      <c r="L317" s="151">
        <f t="shared" si="179"/>
        <v>60.27254997087894</v>
      </c>
      <c r="M317" s="236">
        <f t="shared" si="191"/>
        <v>12454.4</v>
      </c>
      <c r="N317" s="236">
        <f t="shared" si="191"/>
        <v>14256.7</v>
      </c>
      <c r="O317" s="236">
        <f t="shared" si="191"/>
        <v>11392.188000000002</v>
      </c>
      <c r="P317" s="236">
        <f t="shared" si="180"/>
        <v>-2864.511999999999</v>
      </c>
      <c r="Q317" s="151">
        <f t="shared" si="181"/>
        <v>79.90760835256407</v>
      </c>
    </row>
    <row r="318" spans="1:17" s="108" customFormat="1" ht="22.5" customHeight="1">
      <c r="A318" s="81" t="s">
        <v>184</v>
      </c>
      <c r="B318" s="81" t="s">
        <v>183</v>
      </c>
      <c r="C318" s="234">
        <f>C320-C319</f>
        <v>222000</v>
      </c>
      <c r="D318" s="234">
        <f>D320-D319</f>
        <v>217125.3</v>
      </c>
      <c r="E318" s="234">
        <f>E320-E319</f>
        <v>100641.979</v>
      </c>
      <c r="F318" s="236">
        <f t="shared" si="176"/>
        <v>-116483.32099999998</v>
      </c>
      <c r="G318" s="151">
        <f t="shared" si="177"/>
        <v>46.352027608021736</v>
      </c>
      <c r="H318" s="234">
        <f>H320-H319</f>
        <v>220000</v>
      </c>
      <c r="I318" s="234">
        <f>I320-I319</f>
        <v>217125.3</v>
      </c>
      <c r="J318" s="234">
        <f>J320-J319</f>
        <v>100641.979</v>
      </c>
      <c r="K318" s="236">
        <f t="shared" si="178"/>
        <v>-116483.32099999998</v>
      </c>
      <c r="L318" s="151">
        <f t="shared" si="179"/>
        <v>46.352027608021736</v>
      </c>
      <c r="M318" s="234">
        <f>M320-M319</f>
        <v>2000</v>
      </c>
      <c r="N318" s="357">
        <f>N320-N319</f>
        <v>0</v>
      </c>
      <c r="O318" s="357">
        <f>O320-O319</f>
        <v>0</v>
      </c>
      <c r="P318" s="356">
        <f t="shared" si="180"/>
        <v>0</v>
      </c>
      <c r="Q318" s="338" t="e">
        <f t="shared" si="181"/>
        <v>#DIV/0!</v>
      </c>
    </row>
    <row r="319" spans="1:17" s="108" customFormat="1" ht="22.5" customHeight="1" hidden="1">
      <c r="A319" s="81" t="s">
        <v>193</v>
      </c>
      <c r="B319" s="81"/>
      <c r="C319" s="234">
        <f aca="true" t="shared" si="192" ref="C319:E320">H319+M319</f>
        <v>0</v>
      </c>
      <c r="D319" s="234">
        <f t="shared" si="192"/>
        <v>0</v>
      </c>
      <c r="E319" s="234">
        <f t="shared" si="192"/>
        <v>0</v>
      </c>
      <c r="F319" s="236">
        <f t="shared" si="176"/>
        <v>0</v>
      </c>
      <c r="G319" s="151" t="e">
        <f t="shared" si="177"/>
        <v>#DIV/0!</v>
      </c>
      <c r="H319" s="236">
        <f aca="true" t="shared" si="193" ref="H319:J320">H21+H60+H97+H134+H171+H208+H245+H282</f>
        <v>0</v>
      </c>
      <c r="I319" s="236">
        <f t="shared" si="193"/>
        <v>0</v>
      </c>
      <c r="J319" s="236">
        <f t="shared" si="193"/>
        <v>0</v>
      </c>
      <c r="K319" s="236">
        <f t="shared" si="178"/>
        <v>0</v>
      </c>
      <c r="L319" s="151" t="e">
        <f t="shared" si="179"/>
        <v>#DIV/0!</v>
      </c>
      <c r="M319" s="236">
        <f>M21+M60+M97+M134+M171+M208+M245+M282</f>
        <v>0</v>
      </c>
      <c r="N319" s="356">
        <f>N21+N60+N97+N134+N171+N208+N245+N282</f>
        <v>0</v>
      </c>
      <c r="O319" s="356">
        <f>O21+O60+O97+O134+O171+O208+O245+O282</f>
        <v>0</v>
      </c>
      <c r="P319" s="356">
        <f t="shared" si="180"/>
        <v>0</v>
      </c>
      <c r="Q319" s="338" t="e">
        <f t="shared" si="181"/>
        <v>#DIV/0!</v>
      </c>
    </row>
    <row r="320" spans="1:17" s="108" customFormat="1" ht="22.5" customHeight="1">
      <c r="A320" s="81" t="s">
        <v>194</v>
      </c>
      <c r="B320" s="81"/>
      <c r="C320" s="234">
        <f t="shared" si="192"/>
        <v>222000</v>
      </c>
      <c r="D320" s="234">
        <f t="shared" si="192"/>
        <v>217125.3</v>
      </c>
      <c r="E320" s="234">
        <f t="shared" si="192"/>
        <v>100641.979</v>
      </c>
      <c r="F320" s="236">
        <f t="shared" si="176"/>
        <v>-116483.32099999998</v>
      </c>
      <c r="G320" s="151">
        <f t="shared" si="177"/>
        <v>46.352027608021736</v>
      </c>
      <c r="H320" s="236">
        <f t="shared" si="193"/>
        <v>220000</v>
      </c>
      <c r="I320" s="236">
        <f t="shared" si="193"/>
        <v>217125.3</v>
      </c>
      <c r="J320" s="236">
        <f t="shared" si="193"/>
        <v>100641.979</v>
      </c>
      <c r="K320" s="236">
        <f t="shared" si="178"/>
        <v>-116483.32099999998</v>
      </c>
      <c r="L320" s="151">
        <f t="shared" si="179"/>
        <v>46.352027608021736</v>
      </c>
      <c r="M320" s="236">
        <f>M22+2000+M61+M98+M135+M172+M209+M246+M283</f>
        <v>2000</v>
      </c>
      <c r="N320" s="356">
        <f>N22+N61+N98+N135+N172+N209+N246+N283</f>
        <v>0</v>
      </c>
      <c r="O320" s="356">
        <f>O22+O61+O98+O135+O172+O209+O246+O283</f>
        <v>0</v>
      </c>
      <c r="P320" s="356">
        <f t="shared" si="180"/>
        <v>0</v>
      </c>
      <c r="Q320" s="338" t="e">
        <f t="shared" si="181"/>
        <v>#DIV/0!</v>
      </c>
    </row>
    <row r="321" spans="1:17" s="108" customFormat="1" ht="22.5" customHeight="1">
      <c r="A321" s="81" t="s">
        <v>180</v>
      </c>
      <c r="B321" s="81" t="s">
        <v>179</v>
      </c>
      <c r="C321" s="234">
        <f>C323-C322</f>
        <v>4950</v>
      </c>
      <c r="D321" s="234">
        <f>D323-D322</f>
        <v>4760.8</v>
      </c>
      <c r="E321" s="234">
        <f>E323-E322</f>
        <v>4755.739</v>
      </c>
      <c r="F321" s="236">
        <f t="shared" si="176"/>
        <v>-5.061000000000604</v>
      </c>
      <c r="G321" s="151">
        <f t="shared" si="177"/>
        <v>99.89369433708619</v>
      </c>
      <c r="H321" s="357">
        <f>H323-H322</f>
        <v>0</v>
      </c>
      <c r="I321" s="357">
        <f>I323-I322</f>
        <v>0</v>
      </c>
      <c r="J321" s="357">
        <f>J323-J322</f>
        <v>0</v>
      </c>
      <c r="K321" s="356">
        <f t="shared" si="178"/>
        <v>0</v>
      </c>
      <c r="L321" s="338" t="e">
        <f t="shared" si="179"/>
        <v>#DIV/0!</v>
      </c>
      <c r="M321" s="234">
        <f>M323-M322</f>
        <v>4950</v>
      </c>
      <c r="N321" s="234">
        <f>N323-N322</f>
        <v>4760.8</v>
      </c>
      <c r="O321" s="234">
        <f>O323-O322</f>
        <v>4755.739</v>
      </c>
      <c r="P321" s="236">
        <f t="shared" si="180"/>
        <v>-5.061000000000604</v>
      </c>
      <c r="Q321" s="151">
        <f t="shared" si="181"/>
        <v>99.89369433708619</v>
      </c>
    </row>
    <row r="322" spans="1:17" s="108" customFormat="1" ht="22.5" customHeight="1" hidden="1">
      <c r="A322" s="81" t="s">
        <v>193</v>
      </c>
      <c r="B322" s="81"/>
      <c r="C322" s="234">
        <f aca="true" t="shared" si="194" ref="C322:E323">H322+M322</f>
        <v>0</v>
      </c>
      <c r="D322" s="234">
        <f t="shared" si="194"/>
        <v>0</v>
      </c>
      <c r="E322" s="234">
        <f t="shared" si="194"/>
        <v>0</v>
      </c>
      <c r="F322" s="236">
        <f t="shared" si="176"/>
        <v>0</v>
      </c>
      <c r="G322" s="151" t="e">
        <f t="shared" si="177"/>
        <v>#DIV/0!</v>
      </c>
      <c r="H322" s="356">
        <f aca="true" t="shared" si="195" ref="H322:J323">H24+H63+H100+H137+H174+H211+H248+H285</f>
        <v>0</v>
      </c>
      <c r="I322" s="356">
        <f t="shared" si="195"/>
        <v>0</v>
      </c>
      <c r="J322" s="356">
        <f t="shared" si="195"/>
        <v>0</v>
      </c>
      <c r="K322" s="356">
        <f t="shared" si="178"/>
        <v>0</v>
      </c>
      <c r="L322" s="338" t="e">
        <f t="shared" si="179"/>
        <v>#DIV/0!</v>
      </c>
      <c r="M322" s="236">
        <f aca="true" t="shared" si="196" ref="M322:O323">M24+M63+M100+M137+M174+M211+M248+M285</f>
        <v>0</v>
      </c>
      <c r="N322" s="236">
        <f t="shared" si="196"/>
        <v>0</v>
      </c>
      <c r="O322" s="236">
        <f t="shared" si="196"/>
        <v>0</v>
      </c>
      <c r="P322" s="236">
        <f t="shared" si="180"/>
        <v>0</v>
      </c>
      <c r="Q322" s="151" t="e">
        <f t="shared" si="181"/>
        <v>#DIV/0!</v>
      </c>
    </row>
    <row r="323" spans="1:17" s="108" customFormat="1" ht="22.5" customHeight="1">
      <c r="A323" s="81" t="s">
        <v>194</v>
      </c>
      <c r="B323" s="81"/>
      <c r="C323" s="234">
        <f t="shared" si="194"/>
        <v>4950</v>
      </c>
      <c r="D323" s="234">
        <f t="shared" si="194"/>
        <v>4760.8</v>
      </c>
      <c r="E323" s="234">
        <f t="shared" si="194"/>
        <v>4755.739</v>
      </c>
      <c r="F323" s="236">
        <f t="shared" si="176"/>
        <v>-5.061000000000604</v>
      </c>
      <c r="G323" s="151">
        <f t="shared" si="177"/>
        <v>99.89369433708619</v>
      </c>
      <c r="H323" s="356">
        <f t="shared" si="195"/>
        <v>0</v>
      </c>
      <c r="I323" s="356">
        <f t="shared" si="195"/>
        <v>0</v>
      </c>
      <c r="J323" s="356">
        <f t="shared" si="195"/>
        <v>0</v>
      </c>
      <c r="K323" s="356">
        <f t="shared" si="178"/>
        <v>0</v>
      </c>
      <c r="L323" s="338" t="e">
        <f t="shared" si="179"/>
        <v>#DIV/0!</v>
      </c>
      <c r="M323" s="236">
        <f t="shared" si="196"/>
        <v>4950</v>
      </c>
      <c r="N323" s="236">
        <f t="shared" si="196"/>
        <v>4760.8</v>
      </c>
      <c r="O323" s="236">
        <f t="shared" si="196"/>
        <v>4755.739</v>
      </c>
      <c r="P323" s="236">
        <f t="shared" si="180"/>
        <v>-5.061000000000604</v>
      </c>
      <c r="Q323" s="151">
        <f t="shared" si="181"/>
        <v>99.89369433708619</v>
      </c>
    </row>
    <row r="324" spans="1:17" s="108" customFormat="1" ht="22.5" customHeight="1">
      <c r="A324" s="81" t="s">
        <v>302</v>
      </c>
      <c r="B324" s="81" t="s">
        <v>301</v>
      </c>
      <c r="C324" s="234">
        <f>C326-C325</f>
        <v>471</v>
      </c>
      <c r="D324" s="357">
        <f>D326-D325</f>
        <v>0</v>
      </c>
      <c r="E324" s="357">
        <f>E326-E325</f>
        <v>0</v>
      </c>
      <c r="F324" s="356">
        <f t="shared" si="176"/>
        <v>0</v>
      </c>
      <c r="G324" s="338" t="e">
        <f t="shared" si="177"/>
        <v>#DIV/0!</v>
      </c>
      <c r="H324" s="234">
        <f>H326-H325</f>
        <v>471</v>
      </c>
      <c r="I324" s="357">
        <f>I326-I325</f>
        <v>0</v>
      </c>
      <c r="J324" s="357">
        <f>J326-J325</f>
        <v>0</v>
      </c>
      <c r="K324" s="356">
        <f t="shared" si="178"/>
        <v>0</v>
      </c>
      <c r="L324" s="338" t="e">
        <f t="shared" si="179"/>
        <v>#DIV/0!</v>
      </c>
      <c r="M324" s="357">
        <f>M326-M325</f>
        <v>0</v>
      </c>
      <c r="N324" s="357">
        <f>N326-N325</f>
        <v>0</v>
      </c>
      <c r="O324" s="357">
        <f>O326-O325</f>
        <v>0</v>
      </c>
      <c r="P324" s="356">
        <f t="shared" si="180"/>
        <v>0</v>
      </c>
      <c r="Q324" s="338" t="e">
        <f t="shared" si="181"/>
        <v>#DIV/0!</v>
      </c>
    </row>
    <row r="325" spans="1:17" s="108" customFormat="1" ht="22.5" customHeight="1" hidden="1">
      <c r="A325" s="81" t="s">
        <v>193</v>
      </c>
      <c r="B325" s="81"/>
      <c r="C325" s="234">
        <f aca="true" t="shared" si="197" ref="C325:E326">H325+M325</f>
        <v>0</v>
      </c>
      <c r="D325" s="357">
        <f t="shared" si="197"/>
        <v>0</v>
      </c>
      <c r="E325" s="357">
        <f t="shared" si="197"/>
        <v>0</v>
      </c>
      <c r="F325" s="356">
        <f t="shared" si="176"/>
        <v>0</v>
      </c>
      <c r="G325" s="338" t="e">
        <f t="shared" si="177"/>
        <v>#DIV/0!</v>
      </c>
      <c r="H325" s="236">
        <f aca="true" t="shared" si="198" ref="H325:J326">H27+H66+H103+H140+H177+H214+H251+H288</f>
        <v>0</v>
      </c>
      <c r="I325" s="356">
        <f t="shared" si="198"/>
        <v>0</v>
      </c>
      <c r="J325" s="356">
        <f t="shared" si="198"/>
        <v>0</v>
      </c>
      <c r="K325" s="356">
        <f t="shared" si="178"/>
        <v>0</v>
      </c>
      <c r="L325" s="338" t="e">
        <f t="shared" si="179"/>
        <v>#DIV/0!</v>
      </c>
      <c r="M325" s="356">
        <f aca="true" t="shared" si="199" ref="M325:O326">M27+M66+M103+M140+M177+M214+M251+M288</f>
        <v>0</v>
      </c>
      <c r="N325" s="356">
        <f t="shared" si="199"/>
        <v>0</v>
      </c>
      <c r="O325" s="356">
        <f t="shared" si="199"/>
        <v>0</v>
      </c>
      <c r="P325" s="356">
        <f t="shared" si="180"/>
        <v>0</v>
      </c>
      <c r="Q325" s="338" t="e">
        <f t="shared" si="181"/>
        <v>#DIV/0!</v>
      </c>
    </row>
    <row r="326" spans="1:17" s="108" customFormat="1" ht="22.5" customHeight="1">
      <c r="A326" s="81" t="s">
        <v>194</v>
      </c>
      <c r="B326" s="81"/>
      <c r="C326" s="234">
        <f t="shared" si="197"/>
        <v>471</v>
      </c>
      <c r="D326" s="357">
        <f t="shared" si="197"/>
        <v>0</v>
      </c>
      <c r="E326" s="357">
        <f t="shared" si="197"/>
        <v>0</v>
      </c>
      <c r="F326" s="356">
        <f t="shared" si="176"/>
        <v>0</v>
      </c>
      <c r="G326" s="338" t="e">
        <f t="shared" si="177"/>
        <v>#DIV/0!</v>
      </c>
      <c r="H326" s="236">
        <f t="shared" si="198"/>
        <v>471</v>
      </c>
      <c r="I326" s="356">
        <f t="shared" si="198"/>
        <v>0</v>
      </c>
      <c r="J326" s="356">
        <f t="shared" si="198"/>
        <v>0</v>
      </c>
      <c r="K326" s="356">
        <f t="shared" si="178"/>
        <v>0</v>
      </c>
      <c r="L326" s="338" t="e">
        <f t="shared" si="179"/>
        <v>#DIV/0!</v>
      </c>
      <c r="M326" s="356">
        <f t="shared" si="199"/>
        <v>0</v>
      </c>
      <c r="N326" s="356">
        <f t="shared" si="199"/>
        <v>0</v>
      </c>
      <c r="O326" s="356">
        <f t="shared" si="199"/>
        <v>0</v>
      </c>
      <c r="P326" s="356">
        <f t="shared" si="180"/>
        <v>0</v>
      </c>
      <c r="Q326" s="338" t="e">
        <f t="shared" si="181"/>
        <v>#DIV/0!</v>
      </c>
    </row>
    <row r="327" spans="1:17" s="108" customFormat="1" ht="22.5" customHeight="1" hidden="1">
      <c r="A327" s="81" t="s">
        <v>304</v>
      </c>
      <c r="B327" s="81" t="s">
        <v>303</v>
      </c>
      <c r="C327" s="234">
        <f>C329-C328</f>
        <v>0</v>
      </c>
      <c r="D327" s="234">
        <f>D329-D328</f>
        <v>0</v>
      </c>
      <c r="E327" s="234">
        <f>E329-E328</f>
        <v>0</v>
      </c>
      <c r="F327" s="236">
        <f t="shared" si="176"/>
        <v>0</v>
      </c>
      <c r="G327" s="151" t="e">
        <f t="shared" si="177"/>
        <v>#DIV/0!</v>
      </c>
      <c r="H327" s="234">
        <f>H329-H328</f>
        <v>0</v>
      </c>
      <c r="I327" s="234">
        <f>I329-I328</f>
        <v>0</v>
      </c>
      <c r="J327" s="234">
        <f>J329-J328</f>
        <v>0</v>
      </c>
      <c r="K327" s="236">
        <f t="shared" si="178"/>
        <v>0</v>
      </c>
      <c r="L327" s="151" t="e">
        <f t="shared" si="179"/>
        <v>#DIV/0!</v>
      </c>
      <c r="M327" s="234">
        <f>M329-M328</f>
        <v>0</v>
      </c>
      <c r="N327" s="234">
        <f>N329-N328</f>
        <v>0</v>
      </c>
      <c r="O327" s="234">
        <f>O329-O328</f>
        <v>0</v>
      </c>
      <c r="P327" s="236">
        <f t="shared" si="180"/>
        <v>0</v>
      </c>
      <c r="Q327" s="151" t="e">
        <f t="shared" si="181"/>
        <v>#DIV/0!</v>
      </c>
    </row>
    <row r="328" spans="1:17" s="108" customFormat="1" ht="22.5" customHeight="1" hidden="1">
      <c r="A328" s="81" t="s">
        <v>193</v>
      </c>
      <c r="B328" s="81"/>
      <c r="C328" s="234">
        <f aca="true" t="shared" si="200" ref="C328:E329">H328+M328</f>
        <v>0</v>
      </c>
      <c r="D328" s="234">
        <f t="shared" si="200"/>
        <v>0</v>
      </c>
      <c r="E328" s="234">
        <f t="shared" si="200"/>
        <v>0</v>
      </c>
      <c r="F328" s="236">
        <f t="shared" si="176"/>
        <v>0</v>
      </c>
      <c r="G328" s="151" t="e">
        <f t="shared" si="177"/>
        <v>#DIV/0!</v>
      </c>
      <c r="H328" s="236">
        <f aca="true" t="shared" si="201" ref="H328:J329">H30+H69+H106+H143+H180+H217+H254+H291</f>
        <v>0</v>
      </c>
      <c r="I328" s="236">
        <f t="shared" si="201"/>
        <v>0</v>
      </c>
      <c r="J328" s="236">
        <f t="shared" si="201"/>
        <v>0</v>
      </c>
      <c r="K328" s="236">
        <f t="shared" si="178"/>
        <v>0</v>
      </c>
      <c r="L328" s="151" t="e">
        <f t="shared" si="179"/>
        <v>#DIV/0!</v>
      </c>
      <c r="M328" s="236">
        <f aca="true" t="shared" si="202" ref="M328:O329">M30+M69+M106+M143+M180+M217+M254+M291</f>
        <v>0</v>
      </c>
      <c r="N328" s="236">
        <f t="shared" si="202"/>
        <v>0</v>
      </c>
      <c r="O328" s="236">
        <f t="shared" si="202"/>
        <v>0</v>
      </c>
      <c r="P328" s="236">
        <f t="shared" si="180"/>
        <v>0</v>
      </c>
      <c r="Q328" s="151" t="e">
        <f t="shared" si="181"/>
        <v>#DIV/0!</v>
      </c>
    </row>
    <row r="329" spans="1:17" s="108" customFormat="1" ht="22.5" customHeight="1" hidden="1">
      <c r="A329" s="81" t="s">
        <v>194</v>
      </c>
      <c r="B329" s="81"/>
      <c r="C329" s="234">
        <f t="shared" si="200"/>
        <v>0</v>
      </c>
      <c r="D329" s="234">
        <f t="shared" si="200"/>
        <v>0</v>
      </c>
      <c r="E329" s="234">
        <f t="shared" si="200"/>
        <v>0</v>
      </c>
      <c r="F329" s="236">
        <f t="shared" si="176"/>
        <v>0</v>
      </c>
      <c r="G329" s="151" t="e">
        <f t="shared" si="177"/>
        <v>#DIV/0!</v>
      </c>
      <c r="H329" s="236">
        <f t="shared" si="201"/>
        <v>0</v>
      </c>
      <c r="I329" s="236">
        <f t="shared" si="201"/>
        <v>0</v>
      </c>
      <c r="J329" s="236">
        <f t="shared" si="201"/>
        <v>0</v>
      </c>
      <c r="K329" s="236">
        <f t="shared" si="178"/>
        <v>0</v>
      </c>
      <c r="L329" s="151" t="e">
        <f t="shared" si="179"/>
        <v>#DIV/0!</v>
      </c>
      <c r="M329" s="236">
        <f t="shared" si="202"/>
        <v>0</v>
      </c>
      <c r="N329" s="236">
        <f t="shared" si="202"/>
        <v>0</v>
      </c>
      <c r="O329" s="236">
        <f t="shared" si="202"/>
        <v>0</v>
      </c>
      <c r="P329" s="236">
        <f t="shared" si="180"/>
        <v>0</v>
      </c>
      <c r="Q329" s="151" t="e">
        <f t="shared" si="181"/>
        <v>#DIV/0!</v>
      </c>
    </row>
    <row r="330" spans="1:17" s="108" customFormat="1" ht="22.5" customHeight="1" hidden="1">
      <c r="A330" s="81" t="s">
        <v>306</v>
      </c>
      <c r="B330" s="81" t="s">
        <v>305</v>
      </c>
      <c r="C330" s="234">
        <f>C332-C331</f>
        <v>0</v>
      </c>
      <c r="D330" s="234">
        <f>D332-D331</f>
        <v>0</v>
      </c>
      <c r="E330" s="234">
        <f>E332-E331</f>
        <v>0</v>
      </c>
      <c r="F330" s="236">
        <f t="shared" si="176"/>
        <v>0</v>
      </c>
      <c r="G330" s="151" t="e">
        <f t="shared" si="177"/>
        <v>#DIV/0!</v>
      </c>
      <c r="H330" s="234">
        <f>H332-H331</f>
        <v>0</v>
      </c>
      <c r="I330" s="234">
        <f>I332-I331</f>
        <v>0</v>
      </c>
      <c r="J330" s="234">
        <f>J332-J331</f>
        <v>0</v>
      </c>
      <c r="K330" s="236">
        <f t="shared" si="178"/>
        <v>0</v>
      </c>
      <c r="L330" s="151" t="e">
        <f t="shared" si="179"/>
        <v>#DIV/0!</v>
      </c>
      <c r="M330" s="234">
        <f>M332-M331</f>
        <v>0</v>
      </c>
      <c r="N330" s="234">
        <f>N332-N331</f>
        <v>0</v>
      </c>
      <c r="O330" s="234">
        <f>O332-O331</f>
        <v>0</v>
      </c>
      <c r="P330" s="236">
        <f t="shared" si="180"/>
        <v>0</v>
      </c>
      <c r="Q330" s="151" t="e">
        <f t="shared" si="181"/>
        <v>#DIV/0!</v>
      </c>
    </row>
    <row r="331" spans="1:17" s="108" customFormat="1" ht="22.5" customHeight="1" hidden="1">
      <c r="A331" s="81" t="s">
        <v>193</v>
      </c>
      <c r="B331" s="81"/>
      <c r="C331" s="234">
        <f aca="true" t="shared" si="203" ref="C331:E332">H331+M331</f>
        <v>0</v>
      </c>
      <c r="D331" s="234">
        <f t="shared" si="203"/>
        <v>0</v>
      </c>
      <c r="E331" s="234">
        <f t="shared" si="203"/>
        <v>0</v>
      </c>
      <c r="F331" s="236">
        <f t="shared" si="176"/>
        <v>0</v>
      </c>
      <c r="G331" s="151" t="e">
        <f t="shared" si="177"/>
        <v>#DIV/0!</v>
      </c>
      <c r="H331" s="236">
        <f aca="true" t="shared" si="204" ref="H331:J332">H33+H72+H109+H146+H183+H220+H257+H294</f>
        <v>0</v>
      </c>
      <c r="I331" s="236">
        <f t="shared" si="204"/>
        <v>0</v>
      </c>
      <c r="J331" s="236">
        <f t="shared" si="204"/>
        <v>0</v>
      </c>
      <c r="K331" s="236">
        <f t="shared" si="178"/>
        <v>0</v>
      </c>
      <c r="L331" s="151" t="e">
        <f t="shared" si="179"/>
        <v>#DIV/0!</v>
      </c>
      <c r="M331" s="236">
        <f aca="true" t="shared" si="205" ref="M331:O332">M33+M72+M109+M146+M183+M220+M257+M294</f>
        <v>0</v>
      </c>
      <c r="N331" s="236">
        <f t="shared" si="205"/>
        <v>0</v>
      </c>
      <c r="O331" s="236">
        <f t="shared" si="205"/>
        <v>0</v>
      </c>
      <c r="P331" s="236">
        <f t="shared" si="180"/>
        <v>0</v>
      </c>
      <c r="Q331" s="151" t="e">
        <f t="shared" si="181"/>
        <v>#DIV/0!</v>
      </c>
    </row>
    <row r="332" spans="1:17" s="108" customFormat="1" ht="22.5" customHeight="1" hidden="1">
      <c r="A332" s="81" t="s">
        <v>194</v>
      </c>
      <c r="B332" s="81"/>
      <c r="C332" s="234">
        <f t="shared" si="203"/>
        <v>0</v>
      </c>
      <c r="D332" s="234">
        <f t="shared" si="203"/>
        <v>0</v>
      </c>
      <c r="E332" s="234">
        <f t="shared" si="203"/>
        <v>0</v>
      </c>
      <c r="F332" s="236">
        <f t="shared" si="176"/>
        <v>0</v>
      </c>
      <c r="G332" s="151" t="e">
        <f t="shared" si="177"/>
        <v>#DIV/0!</v>
      </c>
      <c r="H332" s="236">
        <f t="shared" si="204"/>
        <v>0</v>
      </c>
      <c r="I332" s="236">
        <f t="shared" si="204"/>
        <v>0</v>
      </c>
      <c r="J332" s="236">
        <f t="shared" si="204"/>
        <v>0</v>
      </c>
      <c r="K332" s="236">
        <f t="shared" si="178"/>
        <v>0</v>
      </c>
      <c r="L332" s="151" t="e">
        <f t="shared" si="179"/>
        <v>#DIV/0!</v>
      </c>
      <c r="M332" s="236">
        <f t="shared" si="205"/>
        <v>0</v>
      </c>
      <c r="N332" s="236">
        <f t="shared" si="205"/>
        <v>0</v>
      </c>
      <c r="O332" s="236">
        <f t="shared" si="205"/>
        <v>0</v>
      </c>
      <c r="P332" s="236">
        <f t="shared" si="180"/>
        <v>0</v>
      </c>
      <c r="Q332" s="151" t="e">
        <f t="shared" si="181"/>
        <v>#DIV/0!</v>
      </c>
    </row>
    <row r="333" spans="1:17" s="108" customFormat="1" ht="22.5" customHeight="1">
      <c r="A333" s="81" t="s">
        <v>182</v>
      </c>
      <c r="B333" s="81" t="s">
        <v>181</v>
      </c>
      <c r="C333" s="234">
        <f>C335-C334</f>
        <v>2848.3</v>
      </c>
      <c r="D333" s="234">
        <f>D335-D334</f>
        <v>111453.2</v>
      </c>
      <c r="E333" s="234">
        <f>E335-E334</f>
        <v>94963.21599999999</v>
      </c>
      <c r="F333" s="236">
        <f t="shared" si="176"/>
        <v>-16489.98400000001</v>
      </c>
      <c r="G333" s="151">
        <f t="shared" si="177"/>
        <v>85.2045665804122</v>
      </c>
      <c r="H333" s="357">
        <f>H335-H334</f>
        <v>0</v>
      </c>
      <c r="I333" s="234">
        <f>I335-I334</f>
        <v>137600</v>
      </c>
      <c r="J333" s="234">
        <f>J335-J334</f>
        <v>129150.7</v>
      </c>
      <c r="K333" s="236">
        <f t="shared" si="178"/>
        <v>-8449.300000000003</v>
      </c>
      <c r="L333" s="151">
        <f t="shared" si="179"/>
        <v>93.85952034883721</v>
      </c>
      <c r="M333" s="234">
        <f>M335-M334</f>
        <v>2848.3</v>
      </c>
      <c r="N333" s="234">
        <f>N335-N334</f>
        <v>-26146.800000000003</v>
      </c>
      <c r="O333" s="234">
        <f>O335-O334</f>
        <v>-34187.484</v>
      </c>
      <c r="P333" s="236">
        <f t="shared" si="180"/>
        <v>-8040.683999999994</v>
      </c>
      <c r="Q333" s="151">
        <f t="shared" si="181"/>
        <v>130.75207673596768</v>
      </c>
    </row>
    <row r="334" spans="1:17" s="108" customFormat="1" ht="22.5" customHeight="1">
      <c r="A334" s="81" t="s">
        <v>193</v>
      </c>
      <c r="B334" s="81"/>
      <c r="C334" s="234">
        <f aca="true" t="shared" si="206" ref="C334:E335">H334+M334</f>
        <v>4708.3</v>
      </c>
      <c r="D334" s="234">
        <f t="shared" si="206"/>
        <v>29475.300000000003</v>
      </c>
      <c r="E334" s="234">
        <f t="shared" si="206"/>
        <v>37457.483</v>
      </c>
      <c r="F334" s="236">
        <f t="shared" si="176"/>
        <v>7982.182999999997</v>
      </c>
      <c r="G334" s="151">
        <f t="shared" si="177"/>
        <v>127.0809219923122</v>
      </c>
      <c r="H334" s="356">
        <f>H36+H75+H112+H149+H186+H223+H260+H297</f>
        <v>0</v>
      </c>
      <c r="I334" s="356">
        <f>I36+I75+I112+I149+I186+I223+I260+I297</f>
        <v>0</v>
      </c>
      <c r="J334" s="356">
        <f>J36+J75+J112+J149+J186+J223+J260+J297</f>
        <v>0</v>
      </c>
      <c r="K334" s="356">
        <f t="shared" si="178"/>
        <v>0</v>
      </c>
      <c r="L334" s="338" t="e">
        <f t="shared" si="179"/>
        <v>#DIV/0!</v>
      </c>
      <c r="M334" s="236">
        <f aca="true" t="shared" si="207" ref="M334:O335">M36+M75+M112+M149+M186+M223+M260+M297</f>
        <v>4708.3</v>
      </c>
      <c r="N334" s="236">
        <f t="shared" si="207"/>
        <v>29475.300000000003</v>
      </c>
      <c r="O334" s="236">
        <f t="shared" si="207"/>
        <v>37457.483</v>
      </c>
      <c r="P334" s="236">
        <f t="shared" si="180"/>
        <v>7982.182999999997</v>
      </c>
      <c r="Q334" s="151">
        <f t="shared" si="181"/>
        <v>127.0809219923122</v>
      </c>
    </row>
    <row r="335" spans="1:17" s="108" customFormat="1" ht="22.5" customHeight="1">
      <c r="A335" s="81" t="s">
        <v>194</v>
      </c>
      <c r="B335" s="81"/>
      <c r="C335" s="234">
        <f t="shared" si="206"/>
        <v>7556.6</v>
      </c>
      <c r="D335" s="234">
        <f t="shared" si="206"/>
        <v>140928.5</v>
      </c>
      <c r="E335" s="234">
        <f t="shared" si="206"/>
        <v>132420.699</v>
      </c>
      <c r="F335" s="236">
        <f t="shared" si="176"/>
        <v>-8507.801000000007</v>
      </c>
      <c r="G335" s="151">
        <f t="shared" si="177"/>
        <v>93.9630372848643</v>
      </c>
      <c r="H335" s="356">
        <f>H37+H76+H113+H150+H187+H224+H261+H298</f>
        <v>0</v>
      </c>
      <c r="I335" s="236">
        <f>I37+I76+I113+I150+I187+I224+I261+I298+137600</f>
        <v>137600</v>
      </c>
      <c r="J335" s="236">
        <f>J37+J76+J113+J150+J187+J224+J261+J298+129150.7</f>
        <v>129150.7</v>
      </c>
      <c r="K335" s="236">
        <f t="shared" si="178"/>
        <v>-8449.300000000003</v>
      </c>
      <c r="L335" s="151">
        <f t="shared" si="179"/>
        <v>93.85952034883721</v>
      </c>
      <c r="M335" s="236">
        <f t="shared" si="207"/>
        <v>7556.6</v>
      </c>
      <c r="N335" s="236">
        <f t="shared" si="207"/>
        <v>3328.5</v>
      </c>
      <c r="O335" s="236">
        <f t="shared" si="207"/>
        <v>3269.999</v>
      </c>
      <c r="P335" s="236">
        <f t="shared" si="180"/>
        <v>-58.501000000000204</v>
      </c>
      <c r="Q335" s="151">
        <f t="shared" si="181"/>
        <v>98.24242151119122</v>
      </c>
    </row>
    <row r="336" spans="1:17" s="107" customFormat="1" ht="22.5" customHeight="1">
      <c r="A336" s="80" t="s">
        <v>190</v>
      </c>
      <c r="B336" s="80"/>
      <c r="C336" s="233">
        <f>C338-C337</f>
        <v>1175649.8</v>
      </c>
      <c r="D336" s="233">
        <f>D338-D337</f>
        <v>2740660.659</v>
      </c>
      <c r="E336" s="233">
        <f>E338-E337</f>
        <v>1669498.3590000002</v>
      </c>
      <c r="F336" s="210">
        <f t="shared" si="176"/>
        <v>-1071162.2999999998</v>
      </c>
      <c r="G336" s="150">
        <f t="shared" si="177"/>
        <v>60.91590921763949</v>
      </c>
      <c r="H336" s="233">
        <f>H338-H337</f>
        <v>1125014.7</v>
      </c>
      <c r="I336" s="233">
        <f>I338-I337</f>
        <v>2528560.752</v>
      </c>
      <c r="J336" s="233">
        <f>J338-J337</f>
        <v>1517127.1840000001</v>
      </c>
      <c r="K336" s="210">
        <f t="shared" si="178"/>
        <v>-1011433.5679999997</v>
      </c>
      <c r="L336" s="150">
        <f t="shared" si="179"/>
        <v>59.99963349901748</v>
      </c>
      <c r="M336" s="233">
        <f>M338-M337</f>
        <v>50635.100000000006</v>
      </c>
      <c r="N336" s="233">
        <f>N338-N337</f>
        <v>212099.907</v>
      </c>
      <c r="O336" s="233">
        <f>O338-O337</f>
        <v>152371.175</v>
      </c>
      <c r="P336" s="210">
        <f t="shared" si="180"/>
        <v>-59728.73200000002</v>
      </c>
      <c r="Q336" s="150">
        <f t="shared" si="181"/>
        <v>71.83934078764118</v>
      </c>
    </row>
    <row r="337" spans="1:17" s="107" customFormat="1" ht="22.5" customHeight="1" hidden="1">
      <c r="A337" s="80" t="s">
        <v>193</v>
      </c>
      <c r="B337" s="80"/>
      <c r="C337" s="233">
        <f aca="true" t="shared" si="208" ref="C337:E338">H337+M337</f>
        <v>0</v>
      </c>
      <c r="D337" s="233">
        <f t="shared" si="208"/>
        <v>0</v>
      </c>
      <c r="E337" s="233">
        <f t="shared" si="208"/>
        <v>0</v>
      </c>
      <c r="F337" s="210">
        <f t="shared" si="176"/>
        <v>0</v>
      </c>
      <c r="G337" s="150" t="e">
        <f t="shared" si="177"/>
        <v>#DIV/0!</v>
      </c>
      <c r="H337" s="210">
        <f>H39+H78+H115+H152+H189+H226+H263+H300</f>
        <v>0</v>
      </c>
      <c r="I337" s="210">
        <f>I39+I78+I115+I152+I189+I226+I263+I300</f>
        <v>0</v>
      </c>
      <c r="J337" s="210">
        <f>J39+J78+J115+J152+J189+J226+J263+J300</f>
        <v>0</v>
      </c>
      <c r="K337" s="210">
        <f t="shared" si="178"/>
        <v>0</v>
      </c>
      <c r="L337" s="150" t="e">
        <f t="shared" si="179"/>
        <v>#DIV/0!</v>
      </c>
      <c r="M337" s="210">
        <f>M39+M78+M115+M152+M189+M226+M263+M300</f>
        <v>0</v>
      </c>
      <c r="N337" s="210">
        <f>N39+N78+N115+N152+N189+N226+N263+N300</f>
        <v>0</v>
      </c>
      <c r="O337" s="210">
        <f>O39+O78+O115+O152+O189+O226+O263+O300</f>
        <v>0</v>
      </c>
      <c r="P337" s="210">
        <f t="shared" si="180"/>
        <v>0</v>
      </c>
      <c r="Q337" s="150" t="e">
        <f t="shared" si="181"/>
        <v>#DIV/0!</v>
      </c>
    </row>
    <row r="338" spans="1:17" s="107" customFormat="1" ht="22.5" customHeight="1">
      <c r="A338" s="80" t="s">
        <v>194</v>
      </c>
      <c r="B338" s="80"/>
      <c r="C338" s="233">
        <f t="shared" si="208"/>
        <v>1175649.8</v>
      </c>
      <c r="D338" s="233">
        <f t="shared" si="208"/>
        <v>2740660.659</v>
      </c>
      <c r="E338" s="233">
        <f t="shared" si="208"/>
        <v>1669498.3590000002</v>
      </c>
      <c r="F338" s="210">
        <f t="shared" si="176"/>
        <v>-1071162.2999999998</v>
      </c>
      <c r="G338" s="150">
        <f t="shared" si="177"/>
        <v>60.91590921763949</v>
      </c>
      <c r="H338" s="210">
        <f>H40+2201+80675.5+H79+H116+H153+H190+H227+H264+H301</f>
        <v>1125014.7</v>
      </c>
      <c r="I338" s="210">
        <f>I40+244106.9+134114.2+I79+I116+I153+I190+I227+I264+I301</f>
        <v>2528560.752</v>
      </c>
      <c r="J338" s="210">
        <f>J40+227801.7+94411.13+J79+J116+J153+J190+J227+J264+J301</f>
        <v>1517127.1840000001</v>
      </c>
      <c r="K338" s="210">
        <f t="shared" si="178"/>
        <v>-1011433.5679999997</v>
      </c>
      <c r="L338" s="150">
        <f t="shared" si="179"/>
        <v>59.99963349901748</v>
      </c>
      <c r="M338" s="210">
        <f>M40+107+M79+M116+M153+M190+M227+M264+M301</f>
        <v>50635.100000000006</v>
      </c>
      <c r="N338" s="210">
        <f>N40+39+N79+N116+N153+N190+N227+N264+N301</f>
        <v>212099.907</v>
      </c>
      <c r="O338" s="210">
        <f>O40+O79+O116+O153+O190+O227+O264+O301</f>
        <v>152371.175</v>
      </c>
      <c r="P338" s="210">
        <f t="shared" si="180"/>
        <v>-59728.73200000002</v>
      </c>
      <c r="Q338" s="150">
        <f t="shared" si="181"/>
        <v>71.83934078764118</v>
      </c>
    </row>
    <row r="339" spans="1:17" s="108" customFormat="1" ht="22.5" customHeight="1">
      <c r="A339" s="81"/>
      <c r="B339" s="81"/>
      <c r="C339" s="234"/>
      <c r="D339" s="234"/>
      <c r="E339" s="236"/>
      <c r="F339" s="210"/>
      <c r="G339" s="150"/>
      <c r="H339" s="236"/>
      <c r="I339" s="236"/>
      <c r="J339" s="236"/>
      <c r="K339" s="210"/>
      <c r="L339" s="150"/>
      <c r="M339" s="234"/>
      <c r="N339" s="234"/>
      <c r="O339" s="234"/>
      <c r="P339" s="210"/>
      <c r="Q339" s="150"/>
    </row>
    <row r="340" spans="1:17" s="108" customFormat="1" ht="22.5" customHeight="1">
      <c r="A340" s="87" t="s">
        <v>221</v>
      </c>
      <c r="B340" s="79"/>
      <c r="C340" s="233">
        <f>C303</f>
        <v>39208392.1</v>
      </c>
      <c r="D340" s="233">
        <f>D303</f>
        <v>46551680.35</v>
      </c>
      <c r="E340" s="233">
        <f>E303</f>
        <v>41067873.984</v>
      </c>
      <c r="F340" s="210">
        <f>E340-D340</f>
        <v>-5483806.366000004</v>
      </c>
      <c r="G340" s="342">
        <f>E340/D340*100</f>
        <v>88.21996042941981</v>
      </c>
      <c r="H340" s="233">
        <f>H303</f>
        <v>35826006</v>
      </c>
      <c r="I340" s="233">
        <f>I303</f>
        <v>41785510.839999996</v>
      </c>
      <c r="J340" s="233">
        <f>J303</f>
        <v>37339357.12</v>
      </c>
      <c r="K340" s="210">
        <f>J340-I340</f>
        <v>-4446153.719999999</v>
      </c>
      <c r="L340" s="342">
        <f>J340/I340*100</f>
        <v>89.35958031714708</v>
      </c>
      <c r="M340" s="233">
        <f>M303</f>
        <v>3382386.1000000006</v>
      </c>
      <c r="N340" s="233">
        <f>N303</f>
        <v>4766169.51</v>
      </c>
      <c r="O340" s="233">
        <f>O303</f>
        <v>3728516.8639999996</v>
      </c>
      <c r="P340" s="210">
        <f>O340-N340</f>
        <v>-1037652.6460000002</v>
      </c>
      <c r="Q340" s="342">
        <f>O340/N340*100</f>
        <v>78.22879266415347</v>
      </c>
    </row>
    <row r="341" spans="1:17" s="108" customFormat="1" ht="22.5" customHeight="1">
      <c r="A341" s="181"/>
      <c r="B341" s="180"/>
      <c r="C341" s="233"/>
      <c r="D341" s="233"/>
      <c r="E341" s="210"/>
      <c r="F341" s="210"/>
      <c r="G341" s="150"/>
      <c r="H341" s="210"/>
      <c r="I341" s="210"/>
      <c r="J341" s="210"/>
      <c r="K341" s="210"/>
      <c r="L341" s="150"/>
      <c r="M341" s="233"/>
      <c r="N341" s="233"/>
      <c r="O341" s="233"/>
      <c r="P341" s="210"/>
      <c r="Q341" s="150"/>
    </row>
    <row r="342" spans="1:17" s="108" customFormat="1" ht="22.5" customHeight="1">
      <c r="A342" s="88" t="s">
        <v>222</v>
      </c>
      <c r="B342" s="85"/>
      <c r="C342" s="233">
        <f>расходы!C416-НФА!C340</f>
        <v>-22088373.29999999</v>
      </c>
      <c r="D342" s="233">
        <f>расходы!D416-НФА!D340</f>
        <v>-22375531.977000006</v>
      </c>
      <c r="E342" s="233">
        <f>расходы!E416-НФА!E340</f>
        <v>-16476160.208999977</v>
      </c>
      <c r="F342" s="210">
        <f>E342-D342</f>
        <v>5899371.768000029</v>
      </c>
      <c r="G342" s="342">
        <f>E342/D342*100</f>
        <v>73.63471950493047</v>
      </c>
      <c r="H342" s="233">
        <f>расходы!H416-НФА!H340</f>
        <v>-23321938.299999997</v>
      </c>
      <c r="I342" s="233">
        <f>расходы!I416-НФА!I340</f>
        <v>-21444122.182000034</v>
      </c>
      <c r="J342" s="233">
        <f>расходы!J416-НФА!J340</f>
        <v>-17377812.384999983</v>
      </c>
      <c r="K342" s="210">
        <f>J342-I342</f>
        <v>4066309.7970000505</v>
      </c>
      <c r="L342" s="342">
        <f>J342/I342*100</f>
        <v>81.03764862702906</v>
      </c>
      <c r="M342" s="233">
        <f>расходы!M416-НФА!M340</f>
        <v>1233565.0000000028</v>
      </c>
      <c r="N342" s="233">
        <f>расходы!N416-НФА!N340</f>
        <v>-950185.4950000048</v>
      </c>
      <c r="O342" s="233">
        <f>расходы!O416-НФА!O340</f>
        <v>901652.1739999955</v>
      </c>
      <c r="P342" s="210">
        <f>O342-N342</f>
        <v>1851837.6690000002</v>
      </c>
      <c r="Q342" s="358">
        <f>O342/N342*100</f>
        <v>-94.89222670148116</v>
      </c>
    </row>
  </sheetData>
  <sheetProtection/>
  <mergeCells count="5">
    <mergeCell ref="A3:A4"/>
    <mergeCell ref="B3:B4"/>
    <mergeCell ref="C3:G3"/>
    <mergeCell ref="H3:L3"/>
    <mergeCell ref="M3:Q3"/>
  </mergeCells>
  <printOptions/>
  <pageMargins left="0.1968503937007874" right="0.1968503937007874" top="1.1811023622047245" bottom="0.5905511811023623" header="0.1968503937007874" footer="0.1968503937007874"/>
  <pageSetup firstPageNumber="87" useFirstPageNumber="1" horizontalDpi="600" verticalDpi="600" orientation="landscape" paperSize="9" scale="70" r:id="rId1"/>
  <headerFooter alignWithMargins="0">
    <oddFooter>&amp;R&amp;12&amp;P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02"/>
  <sheetViews>
    <sheetView zoomScalePageLayoutView="0" workbookViewId="0" topLeftCell="A1">
      <pane xSplit="2" ySplit="3" topLeftCell="C5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92" sqref="J92"/>
    </sheetView>
  </sheetViews>
  <sheetFormatPr defaultColWidth="9.00390625" defaultRowHeight="12.75"/>
  <cols>
    <col min="1" max="1" width="54.25390625" style="0" customWidth="1"/>
    <col min="2" max="2" width="7.875" style="105" customWidth="1"/>
    <col min="3" max="3" width="11.00390625" style="269" customWidth="1"/>
    <col min="4" max="5" width="11.00390625" style="270" customWidth="1"/>
    <col min="6" max="6" width="10.25390625" style="270" customWidth="1"/>
    <col min="7" max="7" width="6.125" style="0" customWidth="1"/>
    <col min="8" max="10" width="11.00390625" style="259" customWidth="1"/>
    <col min="11" max="11" width="10.375" style="259" customWidth="1"/>
    <col min="12" max="12" width="6.125" style="0" customWidth="1"/>
    <col min="13" max="15" width="11.00390625" style="259" customWidth="1"/>
    <col min="16" max="16" width="9.625" style="259" customWidth="1"/>
    <col min="17" max="17" width="6.125" style="0" customWidth="1"/>
  </cols>
  <sheetData>
    <row r="1" spans="1:17" ht="13.5" customHeight="1" thickBot="1">
      <c r="A1" s="183" t="s">
        <v>224</v>
      </c>
      <c r="B1" s="96"/>
      <c r="C1" s="263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247"/>
      <c r="P1" s="247"/>
      <c r="Q1" s="86"/>
    </row>
    <row r="2" spans="1:18" ht="22.5" customHeight="1">
      <c r="A2" s="396" t="s">
        <v>23</v>
      </c>
      <c r="B2" s="396" t="s">
        <v>568</v>
      </c>
      <c r="C2" s="408" t="s">
        <v>35</v>
      </c>
      <c r="D2" s="409"/>
      <c r="E2" s="409"/>
      <c r="F2" s="409"/>
      <c r="G2" s="410"/>
      <c r="H2" s="404" t="s">
        <v>34</v>
      </c>
      <c r="I2" s="405"/>
      <c r="J2" s="405"/>
      <c r="K2" s="405"/>
      <c r="L2" s="406"/>
      <c r="M2" s="398" t="s">
        <v>36</v>
      </c>
      <c r="N2" s="399"/>
      <c r="O2" s="399"/>
      <c r="P2" s="399"/>
      <c r="Q2" s="400"/>
      <c r="R2" s="138"/>
    </row>
    <row r="3" spans="1:18" s="160" customFormat="1" ht="29.25" customHeight="1" thickBot="1">
      <c r="A3" s="397"/>
      <c r="B3" s="397"/>
      <c r="C3" s="218" t="s">
        <v>559</v>
      </c>
      <c r="D3" s="219" t="s">
        <v>560</v>
      </c>
      <c r="E3" s="220" t="s">
        <v>561</v>
      </c>
      <c r="F3" s="220" t="s">
        <v>562</v>
      </c>
      <c r="G3" s="169" t="s">
        <v>13</v>
      </c>
      <c r="H3" s="197" t="s">
        <v>559</v>
      </c>
      <c r="I3" s="198" t="s">
        <v>560</v>
      </c>
      <c r="J3" s="199" t="s">
        <v>561</v>
      </c>
      <c r="K3" s="199" t="s">
        <v>562</v>
      </c>
      <c r="L3" s="169" t="s">
        <v>13</v>
      </c>
      <c r="M3" s="197" t="s">
        <v>559</v>
      </c>
      <c r="N3" s="198" t="s">
        <v>560</v>
      </c>
      <c r="O3" s="199" t="s">
        <v>561</v>
      </c>
      <c r="P3" s="199" t="s">
        <v>562</v>
      </c>
      <c r="Q3" s="169" t="s">
        <v>13</v>
      </c>
      <c r="R3" s="159"/>
    </row>
    <row r="4" spans="1:17" s="161" customFormat="1" ht="22.5" customHeight="1">
      <c r="A4" s="74" t="s">
        <v>209</v>
      </c>
      <c r="B4" s="97"/>
      <c r="C4" s="264">
        <f>C5+C12+C22+C29+C36+C44</f>
        <v>10847860.5</v>
      </c>
      <c r="D4" s="264">
        <f>D5+D12+D22+D29+D36+D44</f>
        <v>10128127.600000001</v>
      </c>
      <c r="E4" s="264">
        <f>E5+E12+E22+E29+E36+E44</f>
        <v>8027163.4059999995</v>
      </c>
      <c r="F4" s="264">
        <f aca="true" t="shared" si="0" ref="F4:F11">E4-D4</f>
        <v>-2100964.194000002</v>
      </c>
      <c r="G4" s="82">
        <f aca="true" t="shared" si="1" ref="G4:G11">E4/D4*100</f>
        <v>79.25614410703118</v>
      </c>
      <c r="H4" s="254">
        <f>H5+H12+H22+H29+H36+H44</f>
        <v>10847836.5</v>
      </c>
      <c r="I4" s="254">
        <f>I5+I12+I22+I29+I36+I44</f>
        <v>10126780.600000001</v>
      </c>
      <c r="J4" s="254">
        <f>J5+J12+J22+J29+J36+J44</f>
        <v>8042526.4059999995</v>
      </c>
      <c r="K4" s="254">
        <f>J4-I4</f>
        <v>-2084254.194000002</v>
      </c>
      <c r="L4" s="82">
        <f>J4/I4*100</f>
        <v>79.41839290958865</v>
      </c>
      <c r="M4" s="254">
        <f>M5+M12+M22+M29+M36+M44</f>
        <v>24</v>
      </c>
      <c r="N4" s="254">
        <f>N5+N12+N22+N29+N36+N44</f>
        <v>1347</v>
      </c>
      <c r="O4" s="254">
        <f>O5+O12+O22+O29+O36+O44</f>
        <v>-15363</v>
      </c>
      <c r="P4" s="254">
        <f aca="true" t="shared" si="2" ref="P4:P11">O4-N4</f>
        <v>-16710</v>
      </c>
      <c r="Q4" s="370">
        <f aca="true" t="shared" si="3" ref="Q4:Q11">O4/N4*100</f>
        <v>-1140.534521158129</v>
      </c>
    </row>
    <row r="5" spans="1:17" s="52" customFormat="1" ht="22.5" customHeight="1">
      <c r="A5" s="75" t="s">
        <v>0</v>
      </c>
      <c r="B5" s="97"/>
      <c r="C5" s="265">
        <f>C6</f>
        <v>24</v>
      </c>
      <c r="D5" s="265">
        <f>D6</f>
        <v>650</v>
      </c>
      <c r="E5" s="365">
        <f>E6</f>
        <v>0</v>
      </c>
      <c r="F5" s="266">
        <f t="shared" si="0"/>
        <v>-650</v>
      </c>
      <c r="G5" s="355">
        <f t="shared" si="1"/>
        <v>0</v>
      </c>
      <c r="H5" s="361">
        <f>H6</f>
        <v>0</v>
      </c>
      <c r="I5" s="361">
        <f>I6</f>
        <v>0</v>
      </c>
      <c r="J5" s="361">
        <f>J6</f>
        <v>0</v>
      </c>
      <c r="K5" s="362">
        <f aca="true" t="shared" si="4" ref="K5:K89">J5-I5</f>
        <v>0</v>
      </c>
      <c r="L5" s="355" t="e">
        <f>J5/I5*100</f>
        <v>#DIV/0!</v>
      </c>
      <c r="M5" s="255">
        <f>M6</f>
        <v>24</v>
      </c>
      <c r="N5" s="255">
        <f>N6</f>
        <v>650</v>
      </c>
      <c r="O5" s="361">
        <f>O6</f>
        <v>0</v>
      </c>
      <c r="P5" s="256">
        <f t="shared" si="2"/>
        <v>-650</v>
      </c>
      <c r="Q5" s="355">
        <f t="shared" si="3"/>
        <v>0</v>
      </c>
    </row>
    <row r="6" spans="1:17" s="161" customFormat="1" ht="22.5" customHeight="1">
      <c r="A6" s="74" t="s">
        <v>213</v>
      </c>
      <c r="B6" s="97"/>
      <c r="C6" s="266">
        <f>C8-C7</f>
        <v>24</v>
      </c>
      <c r="D6" s="266">
        <f>D8-D7</f>
        <v>650</v>
      </c>
      <c r="E6" s="367">
        <f>E8-E7</f>
        <v>0</v>
      </c>
      <c r="F6" s="266">
        <f t="shared" si="0"/>
        <v>-650</v>
      </c>
      <c r="G6" s="355">
        <f t="shared" si="1"/>
        <v>0</v>
      </c>
      <c r="H6" s="362">
        <f>H8-H7</f>
        <v>0</v>
      </c>
      <c r="I6" s="362">
        <f>I8-I7</f>
        <v>0</v>
      </c>
      <c r="J6" s="362">
        <f>J8-J7</f>
        <v>0</v>
      </c>
      <c r="K6" s="362">
        <f t="shared" si="4"/>
        <v>0</v>
      </c>
      <c r="L6" s="355" t="e">
        <f>J6/I6*100</f>
        <v>#DIV/0!</v>
      </c>
      <c r="M6" s="256">
        <f>M8-M7</f>
        <v>24</v>
      </c>
      <c r="N6" s="256">
        <f>N8-N7</f>
        <v>650</v>
      </c>
      <c r="O6" s="362">
        <f>O8-O7</f>
        <v>0</v>
      </c>
      <c r="P6" s="256">
        <f t="shared" si="2"/>
        <v>-650</v>
      </c>
      <c r="Q6" s="355">
        <f t="shared" si="3"/>
        <v>0</v>
      </c>
    </row>
    <row r="7" spans="1:17" s="52" customFormat="1" ht="22.5" customHeight="1">
      <c r="A7" s="80" t="s">
        <v>193</v>
      </c>
      <c r="B7" s="98"/>
      <c r="C7" s="367">
        <f aca="true" t="shared" si="5" ref="C7:E8">C10</f>
        <v>0</v>
      </c>
      <c r="D7" s="367">
        <f t="shared" si="5"/>
        <v>0</v>
      </c>
      <c r="E7" s="266">
        <f t="shared" si="5"/>
        <v>650</v>
      </c>
      <c r="F7" s="266">
        <f t="shared" si="0"/>
        <v>650</v>
      </c>
      <c r="G7" s="355" t="e">
        <f t="shared" si="1"/>
        <v>#DIV/0!</v>
      </c>
      <c r="H7" s="362">
        <f aca="true" t="shared" si="6" ref="H7:J8">H10</f>
        <v>0</v>
      </c>
      <c r="I7" s="362">
        <f t="shared" si="6"/>
        <v>0</v>
      </c>
      <c r="J7" s="362">
        <f t="shared" si="6"/>
        <v>0</v>
      </c>
      <c r="K7" s="362">
        <f t="shared" si="4"/>
        <v>0</v>
      </c>
      <c r="L7" s="355" t="e">
        <f aca="true" t="shared" si="7" ref="L7:L71">J7/I7*100</f>
        <v>#DIV/0!</v>
      </c>
      <c r="M7" s="362">
        <f aca="true" t="shared" si="8" ref="M7:O8">M10</f>
        <v>0</v>
      </c>
      <c r="N7" s="362">
        <f t="shared" si="8"/>
        <v>0</v>
      </c>
      <c r="O7" s="256">
        <f t="shared" si="8"/>
        <v>650</v>
      </c>
      <c r="P7" s="256">
        <f t="shared" si="2"/>
        <v>650</v>
      </c>
      <c r="Q7" s="355" t="e">
        <f t="shared" si="3"/>
        <v>#DIV/0!</v>
      </c>
    </row>
    <row r="8" spans="1:17" s="52" customFormat="1" ht="22.5" customHeight="1">
      <c r="A8" s="80" t="s">
        <v>212</v>
      </c>
      <c r="B8" s="101"/>
      <c r="C8" s="266">
        <f t="shared" si="5"/>
        <v>24</v>
      </c>
      <c r="D8" s="266">
        <f t="shared" si="5"/>
        <v>650</v>
      </c>
      <c r="E8" s="266">
        <f t="shared" si="5"/>
        <v>650</v>
      </c>
      <c r="F8" s="367">
        <f t="shared" si="0"/>
        <v>0</v>
      </c>
      <c r="G8" s="82">
        <f t="shared" si="1"/>
        <v>100</v>
      </c>
      <c r="H8" s="362">
        <f t="shared" si="6"/>
        <v>0</v>
      </c>
      <c r="I8" s="362">
        <f t="shared" si="6"/>
        <v>0</v>
      </c>
      <c r="J8" s="362">
        <f t="shared" si="6"/>
        <v>0</v>
      </c>
      <c r="K8" s="362">
        <f t="shared" si="4"/>
        <v>0</v>
      </c>
      <c r="L8" s="355" t="e">
        <f t="shared" si="7"/>
        <v>#DIV/0!</v>
      </c>
      <c r="M8" s="256">
        <f t="shared" si="8"/>
        <v>24</v>
      </c>
      <c r="N8" s="256">
        <f t="shared" si="8"/>
        <v>650</v>
      </c>
      <c r="O8" s="256">
        <f t="shared" si="8"/>
        <v>650</v>
      </c>
      <c r="P8" s="362">
        <f t="shared" si="2"/>
        <v>0</v>
      </c>
      <c r="Q8" s="82">
        <f t="shared" si="3"/>
        <v>100</v>
      </c>
    </row>
    <row r="9" spans="1:17" s="162" customFormat="1" ht="22.5" customHeight="1">
      <c r="A9" s="89" t="s">
        <v>185</v>
      </c>
      <c r="B9" s="99">
        <v>3214</v>
      </c>
      <c r="C9" s="267">
        <f>C11-C10</f>
        <v>24</v>
      </c>
      <c r="D9" s="267">
        <f>D11-D10</f>
        <v>650</v>
      </c>
      <c r="E9" s="366">
        <f>E11-E10</f>
        <v>0</v>
      </c>
      <c r="F9" s="268">
        <f t="shared" si="0"/>
        <v>-650</v>
      </c>
      <c r="G9" s="352">
        <f t="shared" si="1"/>
        <v>0</v>
      </c>
      <c r="H9" s="363">
        <f>H11-H10</f>
        <v>0</v>
      </c>
      <c r="I9" s="363">
        <f>I11-I10</f>
        <v>0</v>
      </c>
      <c r="J9" s="363">
        <f>J11-J10</f>
        <v>0</v>
      </c>
      <c r="K9" s="364">
        <f t="shared" si="4"/>
        <v>0</v>
      </c>
      <c r="L9" s="352" t="e">
        <f t="shared" si="7"/>
        <v>#DIV/0!</v>
      </c>
      <c r="M9" s="257">
        <f>M11-M10</f>
        <v>24</v>
      </c>
      <c r="N9" s="257">
        <f>N11-N10</f>
        <v>650</v>
      </c>
      <c r="O9" s="363">
        <f>O11-O10</f>
        <v>0</v>
      </c>
      <c r="P9" s="258">
        <f t="shared" si="2"/>
        <v>-650</v>
      </c>
      <c r="Q9" s="352">
        <f t="shared" si="3"/>
        <v>0</v>
      </c>
    </row>
    <row r="10" spans="1:17" s="162" customFormat="1" ht="22.5" customHeight="1">
      <c r="A10" s="81" t="s">
        <v>210</v>
      </c>
      <c r="B10" s="100"/>
      <c r="C10" s="366">
        <f aca="true" t="shared" si="9" ref="C10:E11">H10+M10</f>
        <v>0</v>
      </c>
      <c r="D10" s="366">
        <f t="shared" si="9"/>
        <v>0</v>
      </c>
      <c r="E10" s="267">
        <f t="shared" si="9"/>
        <v>650</v>
      </c>
      <c r="F10" s="268">
        <f t="shared" si="0"/>
        <v>650</v>
      </c>
      <c r="G10" s="352" t="e">
        <f t="shared" si="1"/>
        <v>#DIV/0!</v>
      </c>
      <c r="H10" s="363"/>
      <c r="I10" s="363"/>
      <c r="J10" s="363"/>
      <c r="K10" s="364">
        <f t="shared" si="4"/>
        <v>0</v>
      </c>
      <c r="L10" s="352" t="e">
        <f t="shared" si="7"/>
        <v>#DIV/0!</v>
      </c>
      <c r="M10" s="257"/>
      <c r="N10" s="257"/>
      <c r="O10" s="257">
        <v>650</v>
      </c>
      <c r="P10" s="258">
        <f t="shared" si="2"/>
        <v>650</v>
      </c>
      <c r="Q10" s="352" t="e">
        <f t="shared" si="3"/>
        <v>#DIV/0!</v>
      </c>
    </row>
    <row r="11" spans="1:17" s="162" customFormat="1" ht="22.5" customHeight="1">
      <c r="A11" s="81" t="s">
        <v>211</v>
      </c>
      <c r="B11" s="99"/>
      <c r="C11" s="267">
        <f t="shared" si="9"/>
        <v>24</v>
      </c>
      <c r="D11" s="267">
        <f t="shared" si="9"/>
        <v>650</v>
      </c>
      <c r="E11" s="267">
        <f t="shared" si="9"/>
        <v>650</v>
      </c>
      <c r="F11" s="368">
        <f t="shared" si="0"/>
        <v>0</v>
      </c>
      <c r="G11" s="133">
        <f t="shared" si="1"/>
        <v>100</v>
      </c>
      <c r="H11" s="363"/>
      <c r="I11" s="363"/>
      <c r="J11" s="363"/>
      <c r="K11" s="364">
        <f t="shared" si="4"/>
        <v>0</v>
      </c>
      <c r="L11" s="352" t="e">
        <f t="shared" si="7"/>
        <v>#DIV/0!</v>
      </c>
      <c r="M11" s="257">
        <v>24</v>
      </c>
      <c r="N11" s="257">
        <v>650</v>
      </c>
      <c r="O11" s="257">
        <v>650</v>
      </c>
      <c r="P11" s="364">
        <f t="shared" si="2"/>
        <v>0</v>
      </c>
      <c r="Q11" s="133">
        <f t="shared" si="3"/>
        <v>100</v>
      </c>
    </row>
    <row r="12" spans="1:17" s="52" customFormat="1" ht="22.5" customHeight="1">
      <c r="A12" s="75" t="s">
        <v>1</v>
      </c>
      <c r="B12" s="97"/>
      <c r="C12" s="265">
        <f>C13</f>
        <v>10839656.1</v>
      </c>
      <c r="D12" s="265">
        <f>D13</f>
        <v>9796944.600000001</v>
      </c>
      <c r="E12" s="265">
        <f>E13</f>
        <v>7703099.9059999995</v>
      </c>
      <c r="F12" s="266">
        <f aca="true" t="shared" si="10" ref="F12:F25">E12-D12</f>
        <v>-2093844.694000002</v>
      </c>
      <c r="G12" s="82">
        <f aca="true" t="shared" si="11" ref="G12:G71">E12/D12*100</f>
        <v>78.62757441743621</v>
      </c>
      <c r="H12" s="255">
        <f>H13</f>
        <v>10839656.1</v>
      </c>
      <c r="I12" s="255">
        <f>I13</f>
        <v>9796944.600000001</v>
      </c>
      <c r="J12" s="255">
        <f>J13</f>
        <v>7719159.9059999995</v>
      </c>
      <c r="K12" s="256">
        <f t="shared" si="4"/>
        <v>-2077784.694000002</v>
      </c>
      <c r="L12" s="82">
        <f t="shared" si="7"/>
        <v>78.79150307739822</v>
      </c>
      <c r="M12" s="361">
        <f>M13</f>
        <v>0</v>
      </c>
      <c r="N12" s="361">
        <f>N13</f>
        <v>0</v>
      </c>
      <c r="O12" s="255">
        <f>O13</f>
        <v>-16060</v>
      </c>
      <c r="P12" s="256">
        <f aca="true" t="shared" si="12" ref="P12:P18">O12-N12</f>
        <v>-16060</v>
      </c>
      <c r="Q12" s="355" t="e">
        <f aca="true" t="shared" si="13" ref="Q12:Q18">O12/N12*100</f>
        <v>#DIV/0!</v>
      </c>
    </row>
    <row r="13" spans="1:17" s="163" customFormat="1" ht="22.5" customHeight="1">
      <c r="A13" s="74" t="s">
        <v>213</v>
      </c>
      <c r="B13" s="97"/>
      <c r="C13" s="265">
        <f>C15-C14</f>
        <v>10839656.1</v>
      </c>
      <c r="D13" s="265">
        <f>D15-D14</f>
        <v>9796944.600000001</v>
      </c>
      <c r="E13" s="265">
        <f>E15-E14</f>
        <v>7703099.9059999995</v>
      </c>
      <c r="F13" s="266">
        <f t="shared" si="10"/>
        <v>-2093844.694000002</v>
      </c>
      <c r="G13" s="82">
        <f t="shared" si="11"/>
        <v>78.62757441743621</v>
      </c>
      <c r="H13" s="255">
        <f>H15-H14</f>
        <v>10839656.1</v>
      </c>
      <c r="I13" s="255">
        <f>I15-I14</f>
        <v>9796944.600000001</v>
      </c>
      <c r="J13" s="255">
        <f>J15-J14</f>
        <v>7719159.9059999995</v>
      </c>
      <c r="K13" s="256">
        <f t="shared" si="4"/>
        <v>-2077784.694000002</v>
      </c>
      <c r="L13" s="82">
        <f t="shared" si="7"/>
        <v>78.79150307739822</v>
      </c>
      <c r="M13" s="361">
        <f>M15-M14</f>
        <v>0</v>
      </c>
      <c r="N13" s="361">
        <f>N15-N14</f>
        <v>0</v>
      </c>
      <c r="O13" s="255">
        <f>O15-O14</f>
        <v>-16060</v>
      </c>
      <c r="P13" s="256">
        <f t="shared" si="12"/>
        <v>-16060</v>
      </c>
      <c r="Q13" s="355" t="e">
        <f t="shared" si="13"/>
        <v>#DIV/0!</v>
      </c>
    </row>
    <row r="14" spans="1:17" s="52" customFormat="1" ht="22.5" customHeight="1">
      <c r="A14" s="80" t="s">
        <v>193</v>
      </c>
      <c r="B14" s="98"/>
      <c r="C14" s="265">
        <f aca="true" t="shared" si="14" ref="C14:E15">C17+C20</f>
        <v>2824762.9</v>
      </c>
      <c r="D14" s="265">
        <f t="shared" si="14"/>
        <v>2856513</v>
      </c>
      <c r="E14" s="265">
        <f t="shared" si="14"/>
        <v>2955840.7939999998</v>
      </c>
      <c r="F14" s="266">
        <f t="shared" si="10"/>
        <v>99327.79399999976</v>
      </c>
      <c r="G14" s="82">
        <f t="shared" si="11"/>
        <v>103.47723934741413</v>
      </c>
      <c r="H14" s="255">
        <f aca="true" t="shared" si="15" ref="H14:J15">H17+H20</f>
        <v>2824762.9</v>
      </c>
      <c r="I14" s="255">
        <f t="shared" si="15"/>
        <v>2856513</v>
      </c>
      <c r="J14" s="255">
        <f t="shared" si="15"/>
        <v>2939780.7939999998</v>
      </c>
      <c r="K14" s="256">
        <f t="shared" si="4"/>
        <v>83267.79399999976</v>
      </c>
      <c r="L14" s="82">
        <f t="shared" si="7"/>
        <v>102.91501540514605</v>
      </c>
      <c r="M14" s="361">
        <f aca="true" t="shared" si="16" ref="M14:O15">M17+M20</f>
        <v>0</v>
      </c>
      <c r="N14" s="361">
        <f t="shared" si="16"/>
        <v>0</v>
      </c>
      <c r="O14" s="255">
        <f t="shared" si="16"/>
        <v>16060</v>
      </c>
      <c r="P14" s="256">
        <f t="shared" si="12"/>
        <v>16060</v>
      </c>
      <c r="Q14" s="355" t="e">
        <f t="shared" si="13"/>
        <v>#DIV/0!</v>
      </c>
    </row>
    <row r="15" spans="1:17" s="52" customFormat="1" ht="22.5" customHeight="1">
      <c r="A15" s="80" t="s">
        <v>212</v>
      </c>
      <c r="B15" s="101"/>
      <c r="C15" s="265">
        <f t="shared" si="14"/>
        <v>13664419</v>
      </c>
      <c r="D15" s="265">
        <f t="shared" si="14"/>
        <v>12653457.600000001</v>
      </c>
      <c r="E15" s="265">
        <f t="shared" si="14"/>
        <v>10658940.7</v>
      </c>
      <c r="F15" s="266">
        <f t="shared" si="10"/>
        <v>-1994516.9000000022</v>
      </c>
      <c r="G15" s="82">
        <f t="shared" si="11"/>
        <v>84.23737635158312</v>
      </c>
      <c r="H15" s="255">
        <f t="shared" si="15"/>
        <v>13664419</v>
      </c>
      <c r="I15" s="255">
        <f t="shared" si="15"/>
        <v>12653457.600000001</v>
      </c>
      <c r="J15" s="255">
        <f t="shared" si="15"/>
        <v>10658940.7</v>
      </c>
      <c r="K15" s="256">
        <f t="shared" si="4"/>
        <v>-1994516.9000000022</v>
      </c>
      <c r="L15" s="82">
        <f t="shared" si="7"/>
        <v>84.23737635158312</v>
      </c>
      <c r="M15" s="361">
        <f t="shared" si="16"/>
        <v>0</v>
      </c>
      <c r="N15" s="361">
        <f t="shared" si="16"/>
        <v>0</v>
      </c>
      <c r="O15" s="361">
        <f t="shared" si="16"/>
        <v>0</v>
      </c>
      <c r="P15" s="362">
        <f t="shared" si="12"/>
        <v>0</v>
      </c>
      <c r="Q15" s="355" t="e">
        <f t="shared" si="13"/>
        <v>#DIV/0!</v>
      </c>
    </row>
    <row r="16" spans="1:17" s="164" customFormat="1" ht="22.5" customHeight="1">
      <c r="A16" s="89" t="s">
        <v>185</v>
      </c>
      <c r="B16" s="99">
        <v>3214</v>
      </c>
      <c r="C16" s="267">
        <f>C18-C17</f>
        <v>10989656.1</v>
      </c>
      <c r="D16" s="267">
        <f>D18-D17</f>
        <v>10276944.600000001</v>
      </c>
      <c r="E16" s="267">
        <f>E18-E17</f>
        <v>7789673.6559999995</v>
      </c>
      <c r="F16" s="268">
        <f t="shared" si="10"/>
        <v>-2487270.944000002</v>
      </c>
      <c r="G16" s="133">
        <f>E16/D16*100</f>
        <v>75.79756395689823</v>
      </c>
      <c r="H16" s="257">
        <f>H18-H17</f>
        <v>10989656.1</v>
      </c>
      <c r="I16" s="257">
        <f>I18-I17</f>
        <v>10276944.600000001</v>
      </c>
      <c r="J16" s="257">
        <f>J18-J17</f>
        <v>7805733.6559999995</v>
      </c>
      <c r="K16" s="258">
        <f t="shared" si="4"/>
        <v>-2471210.944000002</v>
      </c>
      <c r="L16" s="133">
        <f t="shared" si="7"/>
        <v>75.95383608470556</v>
      </c>
      <c r="M16" s="363">
        <f>M18-M17</f>
        <v>0</v>
      </c>
      <c r="N16" s="363">
        <f>N18-N17</f>
        <v>0</v>
      </c>
      <c r="O16" s="257">
        <f>O18-O17</f>
        <v>-16060</v>
      </c>
      <c r="P16" s="258">
        <f t="shared" si="12"/>
        <v>-16060</v>
      </c>
      <c r="Q16" s="352" t="e">
        <f t="shared" si="13"/>
        <v>#DIV/0!</v>
      </c>
    </row>
    <row r="17" spans="1:17" s="52" customFormat="1" ht="22.5" customHeight="1">
      <c r="A17" s="81" t="s">
        <v>210</v>
      </c>
      <c r="B17" s="100"/>
      <c r="C17" s="267">
        <f aca="true" t="shared" si="17" ref="C17:E18">H17+M17</f>
        <v>2674762.9</v>
      </c>
      <c r="D17" s="267">
        <f t="shared" si="17"/>
        <v>2306513</v>
      </c>
      <c r="E17" s="267">
        <f t="shared" si="17"/>
        <v>2799267.0439999998</v>
      </c>
      <c r="F17" s="268">
        <f t="shared" si="10"/>
        <v>492754.04399999976</v>
      </c>
      <c r="G17" s="133">
        <f>E17/D17*100</f>
        <v>121.36359274801399</v>
      </c>
      <c r="H17" s="257">
        <v>2674762.9</v>
      </c>
      <c r="I17" s="257">
        <v>2306513</v>
      </c>
      <c r="J17" s="257">
        <f>2535445.373+143044.243+104717.428</f>
        <v>2783207.0439999998</v>
      </c>
      <c r="K17" s="258">
        <f t="shared" si="4"/>
        <v>476694.04399999976</v>
      </c>
      <c r="L17" s="133">
        <f t="shared" si="7"/>
        <v>120.6673035877101</v>
      </c>
      <c r="M17" s="257"/>
      <c r="N17" s="257"/>
      <c r="O17" s="257">
        <v>16060</v>
      </c>
      <c r="P17" s="258">
        <f t="shared" si="12"/>
        <v>16060</v>
      </c>
      <c r="Q17" s="352" t="e">
        <f t="shared" si="13"/>
        <v>#DIV/0!</v>
      </c>
    </row>
    <row r="18" spans="1:17" s="52" customFormat="1" ht="22.5" customHeight="1">
      <c r="A18" s="81" t="s">
        <v>211</v>
      </c>
      <c r="B18" s="99"/>
      <c r="C18" s="267">
        <f t="shared" si="17"/>
        <v>13664419</v>
      </c>
      <c r="D18" s="267">
        <f t="shared" si="17"/>
        <v>12583457.600000001</v>
      </c>
      <c r="E18" s="267">
        <f t="shared" si="17"/>
        <v>10588940.7</v>
      </c>
      <c r="F18" s="268">
        <f t="shared" si="10"/>
        <v>-1994516.9000000022</v>
      </c>
      <c r="G18" s="133">
        <f>E18/D18*100</f>
        <v>84.14969109920948</v>
      </c>
      <c r="H18" s="257">
        <v>13664419</v>
      </c>
      <c r="I18" s="257">
        <f>1522152.3+11061305.3</f>
        <v>12583457.600000001</v>
      </c>
      <c r="J18" s="257">
        <f>1440000+9148940.7</f>
        <v>10588940.7</v>
      </c>
      <c r="K18" s="258">
        <f t="shared" si="4"/>
        <v>-1994516.9000000022</v>
      </c>
      <c r="L18" s="133">
        <f t="shared" si="7"/>
        <v>84.14969109920948</v>
      </c>
      <c r="M18" s="257"/>
      <c r="N18" s="257"/>
      <c r="O18" s="257"/>
      <c r="P18" s="364">
        <f t="shared" si="12"/>
        <v>0</v>
      </c>
      <c r="Q18" s="352" t="e">
        <f t="shared" si="13"/>
        <v>#DIV/0!</v>
      </c>
    </row>
    <row r="19" spans="1:17" s="162" customFormat="1" ht="22.5" customHeight="1">
      <c r="A19" s="89" t="s">
        <v>186</v>
      </c>
      <c r="B19" s="99" t="s">
        <v>308</v>
      </c>
      <c r="C19" s="267">
        <f>C21-C20</f>
        <v>-150000</v>
      </c>
      <c r="D19" s="267">
        <f>D21-D20</f>
        <v>-480000</v>
      </c>
      <c r="E19" s="267">
        <f>E21-E20</f>
        <v>-86573.75</v>
      </c>
      <c r="F19" s="268">
        <f t="shared" si="10"/>
        <v>393426.25</v>
      </c>
      <c r="G19" s="133">
        <f>E19/D19*100</f>
        <v>18.036197916666666</v>
      </c>
      <c r="H19" s="257">
        <f>H21-H20</f>
        <v>-150000</v>
      </c>
      <c r="I19" s="257">
        <f>I21-I20</f>
        <v>-480000</v>
      </c>
      <c r="J19" s="257">
        <f>J21-J20</f>
        <v>-86573.75</v>
      </c>
      <c r="K19" s="258">
        <f t="shared" si="4"/>
        <v>393426.25</v>
      </c>
      <c r="L19" s="133">
        <f t="shared" si="7"/>
        <v>18.036197916666666</v>
      </c>
      <c r="M19" s="257"/>
      <c r="N19" s="257"/>
      <c r="O19" s="257"/>
      <c r="P19" s="258"/>
      <c r="Q19" s="140"/>
    </row>
    <row r="20" spans="1:17" s="162" customFormat="1" ht="22.5" customHeight="1">
      <c r="A20" s="141" t="s">
        <v>193</v>
      </c>
      <c r="B20" s="100"/>
      <c r="C20" s="267">
        <f aca="true" t="shared" si="18" ref="C20:E21">H20+M20</f>
        <v>150000</v>
      </c>
      <c r="D20" s="267">
        <f t="shared" si="18"/>
        <v>550000</v>
      </c>
      <c r="E20" s="267">
        <f t="shared" si="18"/>
        <v>156573.75</v>
      </c>
      <c r="F20" s="268">
        <f t="shared" si="10"/>
        <v>-393426.25</v>
      </c>
      <c r="G20" s="133">
        <f t="shared" si="11"/>
        <v>28.467954545454543</v>
      </c>
      <c r="H20" s="257">
        <v>150000</v>
      </c>
      <c r="I20" s="257">
        <v>550000</v>
      </c>
      <c r="J20" s="257">
        <v>156573.75</v>
      </c>
      <c r="K20" s="258">
        <f t="shared" si="4"/>
        <v>-393426.25</v>
      </c>
      <c r="L20" s="133">
        <f t="shared" si="7"/>
        <v>28.467954545454543</v>
      </c>
      <c r="M20" s="257"/>
      <c r="N20" s="257"/>
      <c r="O20" s="257"/>
      <c r="P20" s="258"/>
      <c r="Q20" s="140"/>
    </row>
    <row r="21" spans="1:17" s="162" customFormat="1" ht="22.5" customHeight="1">
      <c r="A21" s="141" t="s">
        <v>212</v>
      </c>
      <c r="B21" s="99"/>
      <c r="C21" s="366">
        <f t="shared" si="18"/>
        <v>0</v>
      </c>
      <c r="D21" s="267">
        <f t="shared" si="18"/>
        <v>70000</v>
      </c>
      <c r="E21" s="267">
        <f t="shared" si="18"/>
        <v>70000</v>
      </c>
      <c r="F21" s="368">
        <f t="shared" si="10"/>
        <v>0</v>
      </c>
      <c r="G21" s="133">
        <f t="shared" si="11"/>
        <v>100</v>
      </c>
      <c r="H21" s="257"/>
      <c r="I21" s="257">
        <v>70000</v>
      </c>
      <c r="J21" s="257">
        <v>70000</v>
      </c>
      <c r="K21" s="364">
        <f t="shared" si="4"/>
        <v>0</v>
      </c>
      <c r="L21" s="133">
        <f t="shared" si="7"/>
        <v>100</v>
      </c>
      <c r="M21" s="257"/>
      <c r="N21" s="257"/>
      <c r="O21" s="257"/>
      <c r="P21" s="258"/>
      <c r="Q21" s="140"/>
    </row>
    <row r="22" spans="1:17" s="162" customFormat="1" ht="22.5" customHeight="1">
      <c r="A22" s="168" t="s">
        <v>3</v>
      </c>
      <c r="B22" s="97"/>
      <c r="C22" s="365">
        <f>C23</f>
        <v>0</v>
      </c>
      <c r="D22" s="265">
        <f>D23</f>
        <v>697</v>
      </c>
      <c r="E22" s="265">
        <f>E23</f>
        <v>697</v>
      </c>
      <c r="F22" s="367">
        <f t="shared" si="10"/>
        <v>0</v>
      </c>
      <c r="G22" s="82">
        <f t="shared" si="11"/>
        <v>100</v>
      </c>
      <c r="H22" s="361">
        <f>H23</f>
        <v>0</v>
      </c>
      <c r="I22" s="361">
        <f>I23</f>
        <v>0</v>
      </c>
      <c r="J22" s="361">
        <f>J23</f>
        <v>0</v>
      </c>
      <c r="K22" s="362">
        <f t="shared" si="4"/>
        <v>0</v>
      </c>
      <c r="L22" s="355" t="e">
        <f t="shared" si="7"/>
        <v>#DIV/0!</v>
      </c>
      <c r="M22" s="361">
        <f>M23</f>
        <v>0</v>
      </c>
      <c r="N22" s="255">
        <f>N23</f>
        <v>697</v>
      </c>
      <c r="O22" s="255">
        <f>O23</f>
        <v>697</v>
      </c>
      <c r="P22" s="362">
        <f aca="true" t="shared" si="19" ref="P22:P28">O22-N22</f>
        <v>0</v>
      </c>
      <c r="Q22" s="82">
        <f aca="true" t="shared" si="20" ref="Q22:Q28">O22/N22*100</f>
        <v>100</v>
      </c>
    </row>
    <row r="23" spans="1:17" s="162" customFormat="1" ht="22.5" customHeight="1">
      <c r="A23" s="74" t="s">
        <v>213</v>
      </c>
      <c r="B23" s="97"/>
      <c r="C23" s="365">
        <f>C25-C24</f>
        <v>0</v>
      </c>
      <c r="D23" s="265">
        <f>D25-D24</f>
        <v>697</v>
      </c>
      <c r="E23" s="265">
        <f>E25-E24</f>
        <v>697</v>
      </c>
      <c r="F23" s="367">
        <f t="shared" si="10"/>
        <v>0</v>
      </c>
      <c r="G23" s="82">
        <f t="shared" si="11"/>
        <v>100</v>
      </c>
      <c r="H23" s="361">
        <f>H25-H24</f>
        <v>0</v>
      </c>
      <c r="I23" s="361">
        <f>I25-I24</f>
        <v>0</v>
      </c>
      <c r="J23" s="361">
        <f>J25-J24</f>
        <v>0</v>
      </c>
      <c r="K23" s="362">
        <f t="shared" si="4"/>
        <v>0</v>
      </c>
      <c r="L23" s="355" t="e">
        <f t="shared" si="7"/>
        <v>#DIV/0!</v>
      </c>
      <c r="M23" s="361">
        <f>M25-M24</f>
        <v>0</v>
      </c>
      <c r="N23" s="255">
        <f>N25-N24</f>
        <v>697</v>
      </c>
      <c r="O23" s="255">
        <f>O25-O24</f>
        <v>697</v>
      </c>
      <c r="P23" s="362">
        <f t="shared" si="19"/>
        <v>0</v>
      </c>
      <c r="Q23" s="82">
        <f t="shared" si="20"/>
        <v>100</v>
      </c>
    </row>
    <row r="24" spans="1:17" s="162" customFormat="1" ht="22.5" customHeight="1" hidden="1">
      <c r="A24" s="80" t="s">
        <v>193</v>
      </c>
      <c r="B24" s="98"/>
      <c r="C24" s="365">
        <f aca="true" t="shared" si="21" ref="C24:E25">C27</f>
        <v>0</v>
      </c>
      <c r="D24" s="265">
        <f t="shared" si="21"/>
        <v>0</v>
      </c>
      <c r="E24" s="265">
        <f t="shared" si="21"/>
        <v>0</v>
      </c>
      <c r="F24" s="367">
        <f t="shared" si="10"/>
        <v>0</v>
      </c>
      <c r="G24" s="82" t="e">
        <f t="shared" si="11"/>
        <v>#DIV/0!</v>
      </c>
      <c r="H24" s="361">
        <f aca="true" t="shared" si="22" ref="H24:J25">H27</f>
        <v>0</v>
      </c>
      <c r="I24" s="361">
        <f t="shared" si="22"/>
        <v>0</v>
      </c>
      <c r="J24" s="361">
        <f t="shared" si="22"/>
        <v>0</v>
      </c>
      <c r="K24" s="362">
        <f t="shared" si="4"/>
        <v>0</v>
      </c>
      <c r="L24" s="355" t="e">
        <f t="shared" si="7"/>
        <v>#DIV/0!</v>
      </c>
      <c r="M24" s="361">
        <f aca="true" t="shared" si="23" ref="M24:O25">M27</f>
        <v>0</v>
      </c>
      <c r="N24" s="361">
        <f t="shared" si="23"/>
        <v>0</v>
      </c>
      <c r="O24" s="361">
        <f t="shared" si="23"/>
        <v>0</v>
      </c>
      <c r="P24" s="362">
        <f t="shared" si="19"/>
        <v>0</v>
      </c>
      <c r="Q24" s="355" t="e">
        <f t="shared" si="20"/>
        <v>#DIV/0!</v>
      </c>
    </row>
    <row r="25" spans="1:17" s="162" customFormat="1" ht="22.5" customHeight="1">
      <c r="A25" s="80" t="s">
        <v>212</v>
      </c>
      <c r="B25" s="101"/>
      <c r="C25" s="365">
        <f t="shared" si="21"/>
        <v>0</v>
      </c>
      <c r="D25" s="265">
        <f t="shared" si="21"/>
        <v>697</v>
      </c>
      <c r="E25" s="265">
        <f t="shared" si="21"/>
        <v>697</v>
      </c>
      <c r="F25" s="367">
        <f t="shared" si="10"/>
        <v>0</v>
      </c>
      <c r="G25" s="82">
        <f t="shared" si="11"/>
        <v>100</v>
      </c>
      <c r="H25" s="361">
        <f t="shared" si="22"/>
        <v>0</v>
      </c>
      <c r="I25" s="361">
        <f t="shared" si="22"/>
        <v>0</v>
      </c>
      <c r="J25" s="361">
        <f t="shared" si="22"/>
        <v>0</v>
      </c>
      <c r="K25" s="362">
        <f t="shared" si="4"/>
        <v>0</v>
      </c>
      <c r="L25" s="355" t="e">
        <f t="shared" si="7"/>
        <v>#DIV/0!</v>
      </c>
      <c r="M25" s="361">
        <f t="shared" si="23"/>
        <v>0</v>
      </c>
      <c r="N25" s="255">
        <f t="shared" si="23"/>
        <v>697</v>
      </c>
      <c r="O25" s="255">
        <f t="shared" si="23"/>
        <v>697</v>
      </c>
      <c r="P25" s="362">
        <f t="shared" si="19"/>
        <v>0</v>
      </c>
      <c r="Q25" s="82">
        <f t="shared" si="20"/>
        <v>100</v>
      </c>
    </row>
    <row r="26" spans="1:17" s="162" customFormat="1" ht="22.5" customHeight="1">
      <c r="A26" s="89" t="s">
        <v>185</v>
      </c>
      <c r="B26" s="99">
        <v>3214</v>
      </c>
      <c r="C26" s="366">
        <f>C28-C27</f>
        <v>0</v>
      </c>
      <c r="D26" s="267">
        <f>D28-D27</f>
        <v>697</v>
      </c>
      <c r="E26" s="267">
        <f>E28-E27</f>
        <v>697</v>
      </c>
      <c r="F26" s="368">
        <f aca="true" t="shared" si="24" ref="F26:F35">E26-D26</f>
        <v>0</v>
      </c>
      <c r="G26" s="133">
        <f aca="true" t="shared" si="25" ref="G26:G35">E26/D26*100</f>
        <v>100</v>
      </c>
      <c r="H26" s="363">
        <f>H28-H27</f>
        <v>0</v>
      </c>
      <c r="I26" s="363">
        <f>I28-I27</f>
        <v>0</v>
      </c>
      <c r="J26" s="363">
        <f>J28-J27</f>
        <v>0</v>
      </c>
      <c r="K26" s="364">
        <f t="shared" si="4"/>
        <v>0</v>
      </c>
      <c r="L26" s="352" t="e">
        <f t="shared" si="7"/>
        <v>#DIV/0!</v>
      </c>
      <c r="M26" s="363">
        <f>M28-M27</f>
        <v>0</v>
      </c>
      <c r="N26" s="257">
        <f>N28-N27</f>
        <v>697</v>
      </c>
      <c r="O26" s="257">
        <f>O28-O27</f>
        <v>697</v>
      </c>
      <c r="P26" s="364">
        <f t="shared" si="19"/>
        <v>0</v>
      </c>
      <c r="Q26" s="133">
        <f t="shared" si="20"/>
        <v>100</v>
      </c>
    </row>
    <row r="27" spans="1:17" s="162" customFormat="1" ht="22.5" customHeight="1" hidden="1">
      <c r="A27" s="81" t="s">
        <v>210</v>
      </c>
      <c r="B27" s="100"/>
      <c r="C27" s="366">
        <f aca="true" t="shared" si="26" ref="C27:E28">H27+M27</f>
        <v>0</v>
      </c>
      <c r="D27" s="267">
        <f t="shared" si="26"/>
        <v>0</v>
      </c>
      <c r="E27" s="267">
        <f t="shared" si="26"/>
        <v>0</v>
      </c>
      <c r="F27" s="368">
        <f t="shared" si="24"/>
        <v>0</v>
      </c>
      <c r="G27" s="133" t="e">
        <f t="shared" si="25"/>
        <v>#DIV/0!</v>
      </c>
      <c r="H27" s="363"/>
      <c r="I27" s="363"/>
      <c r="J27" s="363"/>
      <c r="K27" s="364">
        <f t="shared" si="4"/>
        <v>0</v>
      </c>
      <c r="L27" s="352" t="e">
        <f t="shared" si="7"/>
        <v>#DIV/0!</v>
      </c>
      <c r="M27" s="257"/>
      <c r="N27" s="257"/>
      <c r="O27" s="257"/>
      <c r="P27" s="364">
        <f t="shared" si="19"/>
        <v>0</v>
      </c>
      <c r="Q27" s="133" t="e">
        <f t="shared" si="20"/>
        <v>#DIV/0!</v>
      </c>
    </row>
    <row r="28" spans="1:17" s="162" customFormat="1" ht="22.5" customHeight="1">
      <c r="A28" s="81" t="s">
        <v>211</v>
      </c>
      <c r="B28" s="99"/>
      <c r="C28" s="366">
        <f t="shared" si="26"/>
        <v>0</v>
      </c>
      <c r="D28" s="267">
        <f t="shared" si="26"/>
        <v>697</v>
      </c>
      <c r="E28" s="267">
        <f t="shared" si="26"/>
        <v>697</v>
      </c>
      <c r="F28" s="368">
        <f t="shared" si="24"/>
        <v>0</v>
      </c>
      <c r="G28" s="133">
        <f t="shared" si="25"/>
        <v>100</v>
      </c>
      <c r="H28" s="363"/>
      <c r="I28" s="363"/>
      <c r="J28" s="363"/>
      <c r="K28" s="364">
        <f t="shared" si="4"/>
        <v>0</v>
      </c>
      <c r="L28" s="352" t="e">
        <f t="shared" si="7"/>
        <v>#DIV/0!</v>
      </c>
      <c r="M28" s="257"/>
      <c r="N28" s="257">
        <v>697</v>
      </c>
      <c r="O28" s="257">
        <v>697</v>
      </c>
      <c r="P28" s="364">
        <f t="shared" si="19"/>
        <v>0</v>
      </c>
      <c r="Q28" s="133">
        <f t="shared" si="20"/>
        <v>100</v>
      </c>
    </row>
    <row r="29" spans="1:17" s="162" customFormat="1" ht="22.5" customHeight="1" hidden="1">
      <c r="A29" s="168" t="s">
        <v>5</v>
      </c>
      <c r="B29" s="97"/>
      <c r="C29" s="365">
        <f>C30</f>
        <v>0</v>
      </c>
      <c r="D29" s="265">
        <f>D30</f>
        <v>0</v>
      </c>
      <c r="E29" s="265">
        <f>E30</f>
        <v>0</v>
      </c>
      <c r="F29" s="367">
        <f t="shared" si="24"/>
        <v>0</v>
      </c>
      <c r="G29" s="82" t="e">
        <f t="shared" si="25"/>
        <v>#DIV/0!</v>
      </c>
      <c r="H29" s="255">
        <f>H30</f>
        <v>0</v>
      </c>
      <c r="I29" s="255">
        <f>I30</f>
        <v>0</v>
      </c>
      <c r="J29" s="255">
        <f>J30</f>
        <v>0</v>
      </c>
      <c r="K29" s="256">
        <f aca="true" t="shared" si="27" ref="K29:K35">J29-I29</f>
        <v>0</v>
      </c>
      <c r="L29" s="82" t="e">
        <f aca="true" t="shared" si="28" ref="L29:L35">J29/I29*100</f>
        <v>#DIV/0!</v>
      </c>
      <c r="M29" s="255">
        <f>M30</f>
        <v>0</v>
      </c>
      <c r="N29" s="255">
        <f>N30</f>
        <v>0</v>
      </c>
      <c r="O29" s="255">
        <f>O30</f>
        <v>0</v>
      </c>
      <c r="P29" s="256">
        <f aca="true" t="shared" si="29" ref="P29:P35">O29-N29</f>
        <v>0</v>
      </c>
      <c r="Q29" s="82" t="e">
        <f aca="true" t="shared" si="30" ref="Q29:Q35">O29/N29*100</f>
        <v>#DIV/0!</v>
      </c>
    </row>
    <row r="30" spans="1:17" s="162" customFormat="1" ht="22.5" customHeight="1" hidden="1">
      <c r="A30" s="74" t="s">
        <v>213</v>
      </c>
      <c r="B30" s="97"/>
      <c r="C30" s="365">
        <f>C32-C31</f>
        <v>0</v>
      </c>
      <c r="D30" s="265">
        <f>D32-D31</f>
        <v>0</v>
      </c>
      <c r="E30" s="265">
        <f>E32-E31</f>
        <v>0</v>
      </c>
      <c r="F30" s="367">
        <f t="shared" si="24"/>
        <v>0</v>
      </c>
      <c r="G30" s="82" t="e">
        <f t="shared" si="25"/>
        <v>#DIV/0!</v>
      </c>
      <c r="H30" s="255">
        <f>H32-H31</f>
        <v>0</v>
      </c>
      <c r="I30" s="255">
        <f>I32-I31</f>
        <v>0</v>
      </c>
      <c r="J30" s="255">
        <f>J32-J31</f>
        <v>0</v>
      </c>
      <c r="K30" s="256">
        <f t="shared" si="27"/>
        <v>0</v>
      </c>
      <c r="L30" s="82" t="e">
        <f t="shared" si="28"/>
        <v>#DIV/0!</v>
      </c>
      <c r="M30" s="255">
        <f>M32-M31</f>
        <v>0</v>
      </c>
      <c r="N30" s="255">
        <f>N32-N31</f>
        <v>0</v>
      </c>
      <c r="O30" s="255">
        <f>O32-O31</f>
        <v>0</v>
      </c>
      <c r="P30" s="256">
        <f t="shared" si="29"/>
        <v>0</v>
      </c>
      <c r="Q30" s="82" t="e">
        <f t="shared" si="30"/>
        <v>#DIV/0!</v>
      </c>
    </row>
    <row r="31" spans="1:17" s="162" customFormat="1" ht="22.5" customHeight="1" hidden="1">
      <c r="A31" s="80" t="s">
        <v>193</v>
      </c>
      <c r="B31" s="98"/>
      <c r="C31" s="365">
        <f aca="true" t="shared" si="31" ref="C31:E32">C34</f>
        <v>0</v>
      </c>
      <c r="D31" s="265">
        <f t="shared" si="31"/>
        <v>0</v>
      </c>
      <c r="E31" s="265">
        <f t="shared" si="31"/>
        <v>0</v>
      </c>
      <c r="F31" s="367">
        <f t="shared" si="24"/>
        <v>0</v>
      </c>
      <c r="G31" s="82" t="e">
        <f t="shared" si="25"/>
        <v>#DIV/0!</v>
      </c>
      <c r="H31" s="255">
        <f aca="true" t="shared" si="32" ref="H31:J32">H34</f>
        <v>0</v>
      </c>
      <c r="I31" s="255">
        <f t="shared" si="32"/>
        <v>0</v>
      </c>
      <c r="J31" s="255">
        <f t="shared" si="32"/>
        <v>0</v>
      </c>
      <c r="K31" s="256">
        <f t="shared" si="27"/>
        <v>0</v>
      </c>
      <c r="L31" s="82" t="e">
        <f t="shared" si="28"/>
        <v>#DIV/0!</v>
      </c>
      <c r="M31" s="255">
        <f aca="true" t="shared" si="33" ref="M31:O32">M34</f>
        <v>0</v>
      </c>
      <c r="N31" s="255">
        <f t="shared" si="33"/>
        <v>0</v>
      </c>
      <c r="O31" s="255">
        <f t="shared" si="33"/>
        <v>0</v>
      </c>
      <c r="P31" s="256">
        <f t="shared" si="29"/>
        <v>0</v>
      </c>
      <c r="Q31" s="82" t="e">
        <f t="shared" si="30"/>
        <v>#DIV/0!</v>
      </c>
    </row>
    <row r="32" spans="1:17" s="162" customFormat="1" ht="22.5" customHeight="1" hidden="1">
      <c r="A32" s="80" t="s">
        <v>212</v>
      </c>
      <c r="B32" s="101"/>
      <c r="C32" s="365">
        <f t="shared" si="31"/>
        <v>0</v>
      </c>
      <c r="D32" s="265">
        <f t="shared" si="31"/>
        <v>0</v>
      </c>
      <c r="E32" s="265">
        <f t="shared" si="31"/>
        <v>0</v>
      </c>
      <c r="F32" s="367">
        <f t="shared" si="24"/>
        <v>0</v>
      </c>
      <c r="G32" s="82" t="e">
        <f t="shared" si="25"/>
        <v>#DIV/0!</v>
      </c>
      <c r="H32" s="255">
        <f t="shared" si="32"/>
        <v>0</v>
      </c>
      <c r="I32" s="255">
        <f t="shared" si="32"/>
        <v>0</v>
      </c>
      <c r="J32" s="255">
        <f t="shared" si="32"/>
        <v>0</v>
      </c>
      <c r="K32" s="256">
        <f t="shared" si="27"/>
        <v>0</v>
      </c>
      <c r="L32" s="82" t="e">
        <f t="shared" si="28"/>
        <v>#DIV/0!</v>
      </c>
      <c r="M32" s="255">
        <f t="shared" si="33"/>
        <v>0</v>
      </c>
      <c r="N32" s="255">
        <f t="shared" si="33"/>
        <v>0</v>
      </c>
      <c r="O32" s="255">
        <f t="shared" si="33"/>
        <v>0</v>
      </c>
      <c r="P32" s="256">
        <f t="shared" si="29"/>
        <v>0</v>
      </c>
      <c r="Q32" s="82" t="e">
        <f t="shared" si="30"/>
        <v>#DIV/0!</v>
      </c>
    </row>
    <row r="33" spans="1:17" s="162" customFormat="1" ht="22.5" customHeight="1" hidden="1">
      <c r="A33" s="89" t="s">
        <v>185</v>
      </c>
      <c r="B33" s="99">
        <v>3214</v>
      </c>
      <c r="C33" s="366">
        <f>C35-C34</f>
        <v>0</v>
      </c>
      <c r="D33" s="267">
        <f>D35-D34</f>
        <v>0</v>
      </c>
      <c r="E33" s="267">
        <f>E35-E34</f>
        <v>0</v>
      </c>
      <c r="F33" s="368">
        <f t="shared" si="24"/>
        <v>0</v>
      </c>
      <c r="G33" s="133" t="e">
        <f t="shared" si="25"/>
        <v>#DIV/0!</v>
      </c>
      <c r="H33" s="257">
        <f>H35-H34</f>
        <v>0</v>
      </c>
      <c r="I33" s="257">
        <f>I35-I34</f>
        <v>0</v>
      </c>
      <c r="J33" s="257">
        <f>J35-J34</f>
        <v>0</v>
      </c>
      <c r="K33" s="258">
        <f t="shared" si="27"/>
        <v>0</v>
      </c>
      <c r="L33" s="133" t="e">
        <f t="shared" si="28"/>
        <v>#DIV/0!</v>
      </c>
      <c r="M33" s="257">
        <f>M35-M34</f>
        <v>0</v>
      </c>
      <c r="N33" s="257">
        <f>N35-N34</f>
        <v>0</v>
      </c>
      <c r="O33" s="257">
        <f>O35-O34</f>
        <v>0</v>
      </c>
      <c r="P33" s="258">
        <f t="shared" si="29"/>
        <v>0</v>
      </c>
      <c r="Q33" s="133" t="e">
        <f t="shared" si="30"/>
        <v>#DIV/0!</v>
      </c>
    </row>
    <row r="34" spans="1:17" s="162" customFormat="1" ht="22.5" customHeight="1" hidden="1">
      <c r="A34" s="81" t="s">
        <v>210</v>
      </c>
      <c r="B34" s="100"/>
      <c r="C34" s="366">
        <f aca="true" t="shared" si="34" ref="C34:E35">H34+M34</f>
        <v>0</v>
      </c>
      <c r="D34" s="267">
        <f t="shared" si="34"/>
        <v>0</v>
      </c>
      <c r="E34" s="267">
        <f t="shared" si="34"/>
        <v>0</v>
      </c>
      <c r="F34" s="368">
        <f t="shared" si="24"/>
        <v>0</v>
      </c>
      <c r="G34" s="133" t="e">
        <f t="shared" si="25"/>
        <v>#DIV/0!</v>
      </c>
      <c r="H34" s="257"/>
      <c r="I34" s="257"/>
      <c r="J34" s="257"/>
      <c r="K34" s="258">
        <f t="shared" si="27"/>
        <v>0</v>
      </c>
      <c r="L34" s="133" t="e">
        <f t="shared" si="28"/>
        <v>#DIV/0!</v>
      </c>
      <c r="M34" s="257"/>
      <c r="N34" s="257"/>
      <c r="O34" s="257"/>
      <c r="P34" s="258">
        <f t="shared" si="29"/>
        <v>0</v>
      </c>
      <c r="Q34" s="133" t="e">
        <f t="shared" si="30"/>
        <v>#DIV/0!</v>
      </c>
    </row>
    <row r="35" spans="1:17" s="162" customFormat="1" ht="22.5" customHeight="1" hidden="1">
      <c r="A35" s="81" t="s">
        <v>211</v>
      </c>
      <c r="B35" s="99"/>
      <c r="C35" s="366">
        <f t="shared" si="34"/>
        <v>0</v>
      </c>
      <c r="D35" s="267">
        <f t="shared" si="34"/>
        <v>0</v>
      </c>
      <c r="E35" s="267">
        <f t="shared" si="34"/>
        <v>0</v>
      </c>
      <c r="F35" s="368">
        <f t="shared" si="24"/>
        <v>0</v>
      </c>
      <c r="G35" s="133" t="e">
        <f t="shared" si="25"/>
        <v>#DIV/0!</v>
      </c>
      <c r="H35" s="257"/>
      <c r="I35" s="257"/>
      <c r="J35" s="257"/>
      <c r="K35" s="258">
        <f t="shared" si="27"/>
        <v>0</v>
      </c>
      <c r="L35" s="133" t="e">
        <f t="shared" si="28"/>
        <v>#DIV/0!</v>
      </c>
      <c r="M35" s="257"/>
      <c r="N35" s="257"/>
      <c r="O35" s="257"/>
      <c r="P35" s="258">
        <f t="shared" si="29"/>
        <v>0</v>
      </c>
      <c r="Q35" s="133" t="e">
        <f t="shared" si="30"/>
        <v>#DIV/0!</v>
      </c>
    </row>
    <row r="36" spans="1:17" s="52" customFormat="1" ht="22.5" customHeight="1">
      <c r="A36" s="75" t="s">
        <v>7</v>
      </c>
      <c r="B36" s="97"/>
      <c r="C36" s="365">
        <f>C37</f>
        <v>0</v>
      </c>
      <c r="D36" s="265">
        <f>D37</f>
        <v>322166.5</v>
      </c>
      <c r="E36" s="265">
        <f>E37</f>
        <v>322166.5</v>
      </c>
      <c r="F36" s="367">
        <f aca="true" t="shared" si="35" ref="F36:F42">E36-D36</f>
        <v>0</v>
      </c>
      <c r="G36" s="82">
        <f t="shared" si="11"/>
        <v>100</v>
      </c>
      <c r="H36" s="361">
        <f>H37</f>
        <v>0</v>
      </c>
      <c r="I36" s="255">
        <f>I37</f>
        <v>322166.5</v>
      </c>
      <c r="J36" s="255">
        <f>J37</f>
        <v>322166.5</v>
      </c>
      <c r="K36" s="362">
        <f t="shared" si="4"/>
        <v>0</v>
      </c>
      <c r="L36" s="82">
        <f t="shared" si="7"/>
        <v>100</v>
      </c>
      <c r="M36" s="255"/>
      <c r="N36" s="255"/>
      <c r="O36" s="255"/>
      <c r="P36" s="256"/>
      <c r="Q36" s="139"/>
    </row>
    <row r="37" spans="1:17" s="52" customFormat="1" ht="22.5" customHeight="1">
      <c r="A37" s="74" t="s">
        <v>213</v>
      </c>
      <c r="B37" s="97"/>
      <c r="C37" s="365">
        <f>C39-C38</f>
        <v>0</v>
      </c>
      <c r="D37" s="265">
        <f>D39-D38</f>
        <v>322166.5</v>
      </c>
      <c r="E37" s="265">
        <f>E39-E38</f>
        <v>322166.5</v>
      </c>
      <c r="F37" s="367">
        <f t="shared" si="35"/>
        <v>0</v>
      </c>
      <c r="G37" s="82">
        <f t="shared" si="11"/>
        <v>100</v>
      </c>
      <c r="H37" s="361">
        <f>H39-H38</f>
        <v>0</v>
      </c>
      <c r="I37" s="255">
        <f>I39-I38</f>
        <v>322166.5</v>
      </c>
      <c r="J37" s="255">
        <f>J39-J38</f>
        <v>322166.5</v>
      </c>
      <c r="K37" s="362">
        <f t="shared" si="4"/>
        <v>0</v>
      </c>
      <c r="L37" s="82">
        <f t="shared" si="7"/>
        <v>100</v>
      </c>
      <c r="M37" s="255"/>
      <c r="N37" s="255"/>
      <c r="O37" s="255"/>
      <c r="P37" s="256"/>
      <c r="Q37" s="139"/>
    </row>
    <row r="38" spans="1:17" s="52" customFormat="1" ht="22.5" customHeight="1" hidden="1">
      <c r="A38" s="80" t="s">
        <v>193</v>
      </c>
      <c r="B38" s="97"/>
      <c r="C38" s="365">
        <f aca="true" t="shared" si="36" ref="C38:E39">C41</f>
        <v>0</v>
      </c>
      <c r="D38" s="265">
        <f t="shared" si="36"/>
        <v>0</v>
      </c>
      <c r="E38" s="265">
        <f t="shared" si="36"/>
        <v>0</v>
      </c>
      <c r="F38" s="367">
        <f t="shared" si="35"/>
        <v>0</v>
      </c>
      <c r="G38" s="82" t="e">
        <f t="shared" si="11"/>
        <v>#DIV/0!</v>
      </c>
      <c r="H38" s="361">
        <f aca="true" t="shared" si="37" ref="H38:J39">H41</f>
        <v>0</v>
      </c>
      <c r="I38" s="255">
        <f t="shared" si="37"/>
        <v>0</v>
      </c>
      <c r="J38" s="255">
        <f t="shared" si="37"/>
        <v>0</v>
      </c>
      <c r="K38" s="362">
        <f t="shared" si="4"/>
        <v>0</v>
      </c>
      <c r="L38" s="82" t="e">
        <f t="shared" si="7"/>
        <v>#DIV/0!</v>
      </c>
      <c r="M38" s="255"/>
      <c r="N38" s="255"/>
      <c r="O38" s="255"/>
      <c r="P38" s="256"/>
      <c r="Q38" s="139"/>
    </row>
    <row r="39" spans="1:17" s="52" customFormat="1" ht="22.5" customHeight="1">
      <c r="A39" s="80" t="s">
        <v>212</v>
      </c>
      <c r="B39" s="97"/>
      <c r="C39" s="365">
        <f t="shared" si="36"/>
        <v>0</v>
      </c>
      <c r="D39" s="265">
        <f t="shared" si="36"/>
        <v>322166.5</v>
      </c>
      <c r="E39" s="265">
        <f t="shared" si="36"/>
        <v>322166.5</v>
      </c>
      <c r="F39" s="367">
        <f t="shared" si="35"/>
        <v>0</v>
      </c>
      <c r="G39" s="82">
        <f t="shared" si="11"/>
        <v>100</v>
      </c>
      <c r="H39" s="361">
        <f t="shared" si="37"/>
        <v>0</v>
      </c>
      <c r="I39" s="255">
        <f t="shared" si="37"/>
        <v>322166.5</v>
      </c>
      <c r="J39" s="255">
        <f t="shared" si="37"/>
        <v>322166.5</v>
      </c>
      <c r="K39" s="362">
        <f t="shared" si="4"/>
        <v>0</v>
      </c>
      <c r="L39" s="82">
        <f t="shared" si="7"/>
        <v>100</v>
      </c>
      <c r="M39" s="255"/>
      <c r="N39" s="255"/>
      <c r="O39" s="255"/>
      <c r="P39" s="256"/>
      <c r="Q39" s="139"/>
    </row>
    <row r="40" spans="1:17" s="162" customFormat="1" ht="22.5" customHeight="1">
      <c r="A40" s="89" t="s">
        <v>185</v>
      </c>
      <c r="B40" s="99">
        <v>3214</v>
      </c>
      <c r="C40" s="366">
        <f>C42-C41</f>
        <v>0</v>
      </c>
      <c r="D40" s="267">
        <f>D42-D41</f>
        <v>322166.5</v>
      </c>
      <c r="E40" s="267">
        <f>E42-E41</f>
        <v>322166.5</v>
      </c>
      <c r="F40" s="368">
        <f t="shared" si="35"/>
        <v>0</v>
      </c>
      <c r="G40" s="133">
        <f t="shared" si="11"/>
        <v>100</v>
      </c>
      <c r="H40" s="363">
        <f>H42-H41</f>
        <v>0</v>
      </c>
      <c r="I40" s="257">
        <f>I42-I41</f>
        <v>322166.5</v>
      </c>
      <c r="J40" s="257">
        <f>J42-J41</f>
        <v>322166.5</v>
      </c>
      <c r="K40" s="364">
        <f t="shared" si="4"/>
        <v>0</v>
      </c>
      <c r="L40" s="133">
        <f t="shared" si="7"/>
        <v>100</v>
      </c>
      <c r="M40" s="257"/>
      <c r="N40" s="257"/>
      <c r="O40" s="257"/>
      <c r="P40" s="258"/>
      <c r="Q40" s="140"/>
    </row>
    <row r="41" spans="1:17" s="162" customFormat="1" ht="22.5" customHeight="1" hidden="1">
      <c r="A41" s="81" t="s">
        <v>210</v>
      </c>
      <c r="B41" s="98"/>
      <c r="C41" s="366">
        <f aca="true" t="shared" si="38" ref="C41:E42">H41+M41</f>
        <v>0</v>
      </c>
      <c r="D41" s="267">
        <f t="shared" si="38"/>
        <v>0</v>
      </c>
      <c r="E41" s="267">
        <f t="shared" si="38"/>
        <v>0</v>
      </c>
      <c r="F41" s="368">
        <f t="shared" si="35"/>
        <v>0</v>
      </c>
      <c r="G41" s="133" t="e">
        <f t="shared" si="11"/>
        <v>#DIV/0!</v>
      </c>
      <c r="H41" s="257"/>
      <c r="I41" s="257"/>
      <c r="J41" s="255"/>
      <c r="K41" s="364">
        <f t="shared" si="4"/>
        <v>0</v>
      </c>
      <c r="L41" s="133" t="e">
        <f t="shared" si="7"/>
        <v>#DIV/0!</v>
      </c>
      <c r="M41" s="257"/>
      <c r="N41" s="257"/>
      <c r="O41" s="257"/>
      <c r="P41" s="258"/>
      <c r="Q41" s="140"/>
    </row>
    <row r="42" spans="1:17" s="162" customFormat="1" ht="22.5" customHeight="1">
      <c r="A42" s="81" t="s">
        <v>211</v>
      </c>
      <c r="B42" s="99"/>
      <c r="C42" s="366">
        <f t="shared" si="38"/>
        <v>0</v>
      </c>
      <c r="D42" s="267">
        <f t="shared" si="38"/>
        <v>322166.5</v>
      </c>
      <c r="E42" s="267">
        <f t="shared" si="38"/>
        <v>322166.5</v>
      </c>
      <c r="F42" s="368">
        <f t="shared" si="35"/>
        <v>0</v>
      </c>
      <c r="G42" s="133">
        <f t="shared" si="11"/>
        <v>100</v>
      </c>
      <c r="H42" s="257"/>
      <c r="I42" s="257">
        <v>322166.5</v>
      </c>
      <c r="J42" s="257">
        <v>322166.5</v>
      </c>
      <c r="K42" s="364">
        <f t="shared" si="4"/>
        <v>0</v>
      </c>
      <c r="L42" s="133">
        <f t="shared" si="7"/>
        <v>100</v>
      </c>
      <c r="M42" s="257"/>
      <c r="N42" s="257"/>
      <c r="O42" s="257"/>
      <c r="P42" s="258"/>
      <c r="Q42" s="140"/>
    </row>
    <row r="43" spans="1:17" s="162" customFormat="1" ht="22.5" customHeight="1">
      <c r="A43" s="81"/>
      <c r="B43" s="99"/>
      <c r="C43" s="267"/>
      <c r="D43" s="267"/>
      <c r="E43" s="267"/>
      <c r="F43" s="268"/>
      <c r="G43" s="133"/>
      <c r="H43" s="257"/>
      <c r="I43" s="257"/>
      <c r="J43" s="257"/>
      <c r="K43" s="258"/>
      <c r="L43" s="133"/>
      <c r="M43" s="257"/>
      <c r="N43" s="257"/>
      <c r="O43" s="257"/>
      <c r="P43" s="258"/>
      <c r="Q43" s="140"/>
    </row>
    <row r="44" spans="1:17" s="162" customFormat="1" ht="22.5" customHeight="1">
      <c r="A44" s="80" t="s">
        <v>547</v>
      </c>
      <c r="B44" s="99"/>
      <c r="C44" s="265">
        <f>C45+C48</f>
        <v>8180.4</v>
      </c>
      <c r="D44" s="265">
        <f>D45+D48</f>
        <v>7669.5</v>
      </c>
      <c r="E44" s="265">
        <f>E45+E48</f>
        <v>1200</v>
      </c>
      <c r="F44" s="266">
        <f aca="true" t="shared" si="39" ref="F44:F50">E44-D44</f>
        <v>-6469.5</v>
      </c>
      <c r="G44" s="82">
        <f aca="true" t="shared" si="40" ref="G44:G50">E44/D44*100</f>
        <v>15.646391550948563</v>
      </c>
      <c r="H44" s="255">
        <f>H45+H48</f>
        <v>8180.4</v>
      </c>
      <c r="I44" s="255">
        <f>I45+I48</f>
        <v>7669.5</v>
      </c>
      <c r="J44" s="255">
        <f>J45+J48</f>
        <v>1200</v>
      </c>
      <c r="K44" s="256">
        <f aca="true" t="shared" si="41" ref="K44:K50">J44-I44</f>
        <v>-6469.5</v>
      </c>
      <c r="L44" s="82">
        <f aca="true" t="shared" si="42" ref="L44:L50">J44/I44*100</f>
        <v>15.646391550948563</v>
      </c>
      <c r="M44" s="257"/>
      <c r="N44" s="257"/>
      <c r="O44" s="257"/>
      <c r="P44" s="258"/>
      <c r="Q44" s="140"/>
    </row>
    <row r="45" spans="1:17" s="162" customFormat="1" ht="22.5" customHeight="1">
      <c r="A45" s="89" t="s">
        <v>548</v>
      </c>
      <c r="B45" s="99" t="s">
        <v>520</v>
      </c>
      <c r="C45" s="267">
        <f>C47-C46</f>
        <v>8180.4</v>
      </c>
      <c r="D45" s="267">
        <f>D47-D46</f>
        <v>7669.5</v>
      </c>
      <c r="E45" s="267">
        <f>E47-E46</f>
        <v>1200</v>
      </c>
      <c r="F45" s="268">
        <f t="shared" si="39"/>
        <v>-6469.5</v>
      </c>
      <c r="G45" s="133">
        <f t="shared" si="40"/>
        <v>15.646391550948563</v>
      </c>
      <c r="H45" s="257">
        <f>H47-H46</f>
        <v>8180.4</v>
      </c>
      <c r="I45" s="257">
        <f>I47-I46</f>
        <v>7669.5</v>
      </c>
      <c r="J45" s="257">
        <f>J47-J46</f>
        <v>1200</v>
      </c>
      <c r="K45" s="258">
        <f t="shared" si="41"/>
        <v>-6469.5</v>
      </c>
      <c r="L45" s="133">
        <f t="shared" si="42"/>
        <v>15.646391550948563</v>
      </c>
      <c r="M45" s="257"/>
      <c r="N45" s="257"/>
      <c r="O45" s="257"/>
      <c r="P45" s="258"/>
      <c r="Q45" s="140"/>
    </row>
    <row r="46" spans="1:17" s="162" customFormat="1" ht="22.5" customHeight="1" hidden="1">
      <c r="A46" s="81" t="s">
        <v>210</v>
      </c>
      <c r="B46" s="98"/>
      <c r="C46" s="267">
        <f aca="true" t="shared" si="43" ref="C46:E47">H46+M46</f>
        <v>0</v>
      </c>
      <c r="D46" s="267">
        <f t="shared" si="43"/>
        <v>0</v>
      </c>
      <c r="E46" s="267">
        <f t="shared" si="43"/>
        <v>0</v>
      </c>
      <c r="F46" s="268">
        <f t="shared" si="39"/>
        <v>0</v>
      </c>
      <c r="G46" s="133" t="e">
        <f t="shared" si="40"/>
        <v>#DIV/0!</v>
      </c>
      <c r="H46" s="257"/>
      <c r="I46" s="257"/>
      <c r="J46" s="257"/>
      <c r="K46" s="258">
        <f t="shared" si="41"/>
        <v>0</v>
      </c>
      <c r="L46" s="133" t="e">
        <f t="shared" si="42"/>
        <v>#DIV/0!</v>
      </c>
      <c r="M46" s="257"/>
      <c r="N46" s="257"/>
      <c r="O46" s="257"/>
      <c r="P46" s="258"/>
      <c r="Q46" s="140"/>
    </row>
    <row r="47" spans="1:17" s="162" customFormat="1" ht="22.5" customHeight="1">
      <c r="A47" s="81" t="s">
        <v>211</v>
      </c>
      <c r="B47" s="101"/>
      <c r="C47" s="267">
        <f t="shared" si="43"/>
        <v>8180.4</v>
      </c>
      <c r="D47" s="267">
        <f t="shared" si="43"/>
        <v>7669.5</v>
      </c>
      <c r="E47" s="267">
        <f t="shared" si="43"/>
        <v>1200</v>
      </c>
      <c r="F47" s="268">
        <f t="shared" si="39"/>
        <v>-6469.5</v>
      </c>
      <c r="G47" s="133">
        <f t="shared" si="40"/>
        <v>15.646391550948563</v>
      </c>
      <c r="H47" s="257">
        <f>6680.4+1500</f>
        <v>8180.4</v>
      </c>
      <c r="I47" s="257">
        <f>6169.5+1500</f>
        <v>7669.5</v>
      </c>
      <c r="J47" s="257">
        <v>1200</v>
      </c>
      <c r="K47" s="258">
        <f t="shared" si="41"/>
        <v>-6469.5</v>
      </c>
      <c r="L47" s="133">
        <f t="shared" si="42"/>
        <v>15.646391550948563</v>
      </c>
      <c r="M47" s="257"/>
      <c r="N47" s="257"/>
      <c r="O47" s="257"/>
      <c r="P47" s="258"/>
      <c r="Q47" s="140"/>
    </row>
    <row r="48" spans="1:17" s="162" customFormat="1" ht="22.5" customHeight="1" hidden="1">
      <c r="A48" s="89" t="s">
        <v>550</v>
      </c>
      <c r="B48" s="99" t="s">
        <v>549</v>
      </c>
      <c r="C48" s="267">
        <f>C50-C49</f>
        <v>0</v>
      </c>
      <c r="D48" s="267">
        <f>D50-D49</f>
        <v>0</v>
      </c>
      <c r="E48" s="267">
        <f>E50-E49</f>
        <v>0</v>
      </c>
      <c r="F48" s="268">
        <f t="shared" si="39"/>
        <v>0</v>
      </c>
      <c r="G48" s="133" t="e">
        <f t="shared" si="40"/>
        <v>#DIV/0!</v>
      </c>
      <c r="H48" s="257">
        <f>H50-H49</f>
        <v>0</v>
      </c>
      <c r="I48" s="257">
        <f>I50-I49</f>
        <v>0</v>
      </c>
      <c r="J48" s="257">
        <f>J50-J49</f>
        <v>0</v>
      </c>
      <c r="K48" s="258">
        <f t="shared" si="41"/>
        <v>0</v>
      </c>
      <c r="L48" s="133" t="e">
        <f t="shared" si="42"/>
        <v>#DIV/0!</v>
      </c>
      <c r="M48" s="257"/>
      <c r="N48" s="257"/>
      <c r="O48" s="257"/>
      <c r="P48" s="258"/>
      <c r="Q48" s="140"/>
    </row>
    <row r="49" spans="1:17" s="162" customFormat="1" ht="22.5" customHeight="1" hidden="1">
      <c r="A49" s="81" t="s">
        <v>210</v>
      </c>
      <c r="B49" s="98"/>
      <c r="C49" s="267">
        <f aca="true" t="shared" si="44" ref="C49:E50">H49+M49</f>
        <v>0</v>
      </c>
      <c r="D49" s="267">
        <f t="shared" si="44"/>
        <v>0</v>
      </c>
      <c r="E49" s="267">
        <f t="shared" si="44"/>
        <v>0</v>
      </c>
      <c r="F49" s="268">
        <f t="shared" si="39"/>
        <v>0</v>
      </c>
      <c r="G49" s="133" t="e">
        <f t="shared" si="40"/>
        <v>#DIV/0!</v>
      </c>
      <c r="H49" s="257"/>
      <c r="I49" s="257"/>
      <c r="J49" s="257"/>
      <c r="K49" s="258">
        <f t="shared" si="41"/>
        <v>0</v>
      </c>
      <c r="L49" s="133" t="e">
        <f t="shared" si="42"/>
        <v>#DIV/0!</v>
      </c>
      <c r="M49" s="257"/>
      <c r="N49" s="257"/>
      <c r="O49" s="257"/>
      <c r="P49" s="258"/>
      <c r="Q49" s="140"/>
    </row>
    <row r="50" spans="1:17" s="162" customFormat="1" ht="22.5" customHeight="1" hidden="1">
      <c r="A50" s="81" t="s">
        <v>556</v>
      </c>
      <c r="B50" s="101"/>
      <c r="C50" s="267">
        <f t="shared" si="44"/>
        <v>0</v>
      </c>
      <c r="D50" s="267">
        <f t="shared" si="44"/>
        <v>0</v>
      </c>
      <c r="E50" s="267">
        <f t="shared" si="44"/>
        <v>0</v>
      </c>
      <c r="F50" s="268">
        <f t="shared" si="39"/>
        <v>0</v>
      </c>
      <c r="G50" s="133" t="e">
        <f t="shared" si="40"/>
        <v>#DIV/0!</v>
      </c>
      <c r="H50" s="257"/>
      <c r="I50" s="257"/>
      <c r="J50" s="257"/>
      <c r="K50" s="258">
        <f t="shared" si="41"/>
        <v>0</v>
      </c>
      <c r="L50" s="133" t="e">
        <f t="shared" si="42"/>
        <v>#DIV/0!</v>
      </c>
      <c r="M50" s="257"/>
      <c r="N50" s="257"/>
      <c r="O50" s="257"/>
      <c r="P50" s="258"/>
      <c r="Q50" s="140"/>
    </row>
    <row r="51" spans="1:17" s="162" customFormat="1" ht="22.5" customHeight="1">
      <c r="A51" s="81"/>
      <c r="B51" s="99"/>
      <c r="C51" s="267"/>
      <c r="D51" s="267"/>
      <c r="E51" s="267"/>
      <c r="F51" s="268"/>
      <c r="G51" s="133"/>
      <c r="H51" s="257"/>
      <c r="I51" s="257"/>
      <c r="J51" s="257"/>
      <c r="K51" s="258"/>
      <c r="L51" s="133"/>
      <c r="M51" s="257"/>
      <c r="N51" s="257"/>
      <c r="O51" s="257"/>
      <c r="P51" s="258"/>
      <c r="Q51" s="140"/>
    </row>
    <row r="52" spans="1:17" s="52" customFormat="1" ht="22.5" customHeight="1">
      <c r="A52" s="70" t="s">
        <v>214</v>
      </c>
      <c r="B52" s="102"/>
      <c r="C52" s="265">
        <f>C53+C72+C79</f>
        <v>31074590.700000003</v>
      </c>
      <c r="D52" s="265">
        <f>D53+D72+D79</f>
        <v>26643020.78</v>
      </c>
      <c r="E52" s="265">
        <f>E53+E72+E79</f>
        <v>24851028.457999997</v>
      </c>
      <c r="F52" s="266">
        <f aca="true" t="shared" si="45" ref="F52:F59">E52-D52</f>
        <v>-1791992.3220000044</v>
      </c>
      <c r="G52" s="82">
        <f t="shared" si="11"/>
        <v>93.27406476616498</v>
      </c>
      <c r="H52" s="255">
        <f>H53+H72+H79</f>
        <v>31270550.700000003</v>
      </c>
      <c r="I52" s="255">
        <f>I53+I72+I79</f>
        <v>26841212.380000003</v>
      </c>
      <c r="J52" s="255">
        <f>J53+J72+J79</f>
        <v>24991130.357999995</v>
      </c>
      <c r="K52" s="256">
        <f t="shared" si="4"/>
        <v>-1850082.0220000073</v>
      </c>
      <c r="L52" s="82">
        <f t="shared" si="7"/>
        <v>93.10730828470868</v>
      </c>
      <c r="M52" s="255">
        <f>M53+M72+M79</f>
        <v>-195960</v>
      </c>
      <c r="N52" s="255">
        <f>N53+N72+N79</f>
        <v>-198191.6</v>
      </c>
      <c r="O52" s="255">
        <f>O53+O72+O79</f>
        <v>-140101.9</v>
      </c>
      <c r="P52" s="256">
        <f aca="true" t="shared" si="46" ref="P52:P57">O52-N52</f>
        <v>58089.70000000001</v>
      </c>
      <c r="Q52" s="82">
        <f aca="true" t="shared" si="47" ref="Q52:Q57">O52/N52*100</f>
        <v>70.6901301568785</v>
      </c>
    </row>
    <row r="53" spans="1:17" s="52" customFormat="1" ht="22.5" customHeight="1">
      <c r="A53" s="75" t="s">
        <v>0</v>
      </c>
      <c r="B53" s="102"/>
      <c r="C53" s="265">
        <f>C54+C66</f>
        <v>31078590.700000003</v>
      </c>
      <c r="D53" s="265">
        <f>D54+D66</f>
        <v>26656747.68</v>
      </c>
      <c r="E53" s="265">
        <f>E54+E66</f>
        <v>24863893.957999997</v>
      </c>
      <c r="F53" s="266">
        <f t="shared" si="45"/>
        <v>-1792853.7220000029</v>
      </c>
      <c r="G53" s="82">
        <f t="shared" si="11"/>
        <v>93.27429683649989</v>
      </c>
      <c r="H53" s="255">
        <f>H54+H66</f>
        <v>31270550.700000003</v>
      </c>
      <c r="I53" s="255">
        <f>I54+I66</f>
        <v>26841212.380000003</v>
      </c>
      <c r="J53" s="255">
        <f>J54+J66</f>
        <v>24991130.357999995</v>
      </c>
      <c r="K53" s="256">
        <f t="shared" si="4"/>
        <v>-1850082.0220000073</v>
      </c>
      <c r="L53" s="82">
        <f t="shared" si="7"/>
        <v>93.10730828470868</v>
      </c>
      <c r="M53" s="255">
        <f>M54+M66</f>
        <v>-191960</v>
      </c>
      <c r="N53" s="255">
        <f>N54+N66</f>
        <v>-184464.7</v>
      </c>
      <c r="O53" s="255">
        <f>O54+O66</f>
        <v>-127236.4</v>
      </c>
      <c r="P53" s="256">
        <f t="shared" si="46"/>
        <v>57228.30000000002</v>
      </c>
      <c r="Q53" s="82">
        <f t="shared" si="47"/>
        <v>68.97601546528955</v>
      </c>
    </row>
    <row r="54" spans="1:17" s="52" customFormat="1" ht="22.5" customHeight="1">
      <c r="A54" s="74" t="s">
        <v>215</v>
      </c>
      <c r="B54" s="97"/>
      <c r="C54" s="265">
        <f>C55-C56</f>
        <v>4061264.0999999996</v>
      </c>
      <c r="D54" s="265">
        <f>D55-D56</f>
        <v>7203873.74</v>
      </c>
      <c r="E54" s="265">
        <f>E55-E56</f>
        <v>7261693.669</v>
      </c>
      <c r="F54" s="266">
        <f t="shared" si="45"/>
        <v>57819.92899999954</v>
      </c>
      <c r="G54" s="82">
        <f t="shared" si="11"/>
        <v>100.80262274280226</v>
      </c>
      <c r="H54" s="255">
        <f>H55-H56</f>
        <v>4253224.1</v>
      </c>
      <c r="I54" s="255">
        <f>I55-I56</f>
        <v>7388338.44</v>
      </c>
      <c r="J54" s="255">
        <f>J55-J56</f>
        <v>7388930.069</v>
      </c>
      <c r="K54" s="256">
        <f t="shared" si="4"/>
        <v>591.6289999997243</v>
      </c>
      <c r="L54" s="82">
        <f t="shared" si="7"/>
        <v>100.00800760556388</v>
      </c>
      <c r="M54" s="255">
        <f>M55-M56</f>
        <v>-191960</v>
      </c>
      <c r="N54" s="255">
        <f>N55-N56</f>
        <v>-184464.7</v>
      </c>
      <c r="O54" s="255">
        <f>O55-O56</f>
        <v>-127236.4</v>
      </c>
      <c r="P54" s="256">
        <f t="shared" si="46"/>
        <v>57228.30000000002</v>
      </c>
      <c r="Q54" s="82">
        <f t="shared" si="47"/>
        <v>68.97601546528955</v>
      </c>
    </row>
    <row r="55" spans="1:17" s="52" customFormat="1" ht="22.5" customHeight="1">
      <c r="A55" s="80" t="s">
        <v>216</v>
      </c>
      <c r="B55" s="97"/>
      <c r="C55" s="265">
        <f aca="true" t="shared" si="48" ref="C55:E56">C58+C61+C64</f>
        <v>11000000</v>
      </c>
      <c r="D55" s="265">
        <f t="shared" si="48"/>
        <v>15654720</v>
      </c>
      <c r="E55" s="265">
        <f t="shared" si="48"/>
        <v>15655361.63</v>
      </c>
      <c r="F55" s="266">
        <f t="shared" si="45"/>
        <v>641.6300000008196</v>
      </c>
      <c r="G55" s="82">
        <f t="shared" si="11"/>
        <v>100.00409863606632</v>
      </c>
      <c r="H55" s="255">
        <f aca="true" t="shared" si="49" ref="H55:J56">H58+H61+H64</f>
        <v>11000000</v>
      </c>
      <c r="I55" s="255">
        <f t="shared" si="49"/>
        <v>15654720</v>
      </c>
      <c r="J55" s="255">
        <f t="shared" si="49"/>
        <v>15654711.63</v>
      </c>
      <c r="K55" s="256">
        <f t="shared" si="4"/>
        <v>-8.369999999180436</v>
      </c>
      <c r="L55" s="82">
        <f t="shared" si="7"/>
        <v>99.9999465336972</v>
      </c>
      <c r="M55" s="361">
        <f aca="true" t="shared" si="50" ref="M55:O56">M58+M61+M64</f>
        <v>0</v>
      </c>
      <c r="N55" s="361">
        <f t="shared" si="50"/>
        <v>0</v>
      </c>
      <c r="O55" s="255">
        <f t="shared" si="50"/>
        <v>650</v>
      </c>
      <c r="P55" s="256">
        <f t="shared" si="46"/>
        <v>650</v>
      </c>
      <c r="Q55" s="355" t="e">
        <f t="shared" si="47"/>
        <v>#DIV/0!</v>
      </c>
    </row>
    <row r="56" spans="1:17" s="52" customFormat="1" ht="22.5" customHeight="1">
      <c r="A56" s="80" t="s">
        <v>217</v>
      </c>
      <c r="B56" s="97"/>
      <c r="C56" s="265">
        <f t="shared" si="48"/>
        <v>6938735.9</v>
      </c>
      <c r="D56" s="265">
        <f t="shared" si="48"/>
        <v>8450846.26</v>
      </c>
      <c r="E56" s="265">
        <f t="shared" si="48"/>
        <v>8393667.961000001</v>
      </c>
      <c r="F56" s="266">
        <f t="shared" si="45"/>
        <v>-57178.29899999872</v>
      </c>
      <c r="G56" s="82">
        <f t="shared" si="11"/>
        <v>99.3234015003842</v>
      </c>
      <c r="H56" s="255">
        <f t="shared" si="49"/>
        <v>6746775.9</v>
      </c>
      <c r="I56" s="255">
        <f t="shared" si="49"/>
        <v>8266381.56</v>
      </c>
      <c r="J56" s="255">
        <f t="shared" si="49"/>
        <v>8265781.561000001</v>
      </c>
      <c r="K56" s="256">
        <f t="shared" si="4"/>
        <v>-599.9989999989048</v>
      </c>
      <c r="L56" s="82">
        <f t="shared" si="7"/>
        <v>99.99274169725116</v>
      </c>
      <c r="M56" s="255">
        <f t="shared" si="50"/>
        <v>191960</v>
      </c>
      <c r="N56" s="255">
        <f t="shared" si="50"/>
        <v>184464.7</v>
      </c>
      <c r="O56" s="255">
        <f t="shared" si="50"/>
        <v>127886.4</v>
      </c>
      <c r="P56" s="256">
        <f t="shared" si="46"/>
        <v>-56578.30000000002</v>
      </c>
      <c r="Q56" s="82">
        <f t="shared" si="47"/>
        <v>69.3283864067217</v>
      </c>
    </row>
    <row r="57" spans="1:17" s="162" customFormat="1" ht="22.5" customHeight="1">
      <c r="A57" s="89" t="s">
        <v>545</v>
      </c>
      <c r="B57" s="99">
        <v>3313</v>
      </c>
      <c r="C57" s="267">
        <f>C58-C59</f>
        <v>4253224.1</v>
      </c>
      <c r="D57" s="267">
        <f>D58-D59</f>
        <v>7388338.44</v>
      </c>
      <c r="E57" s="267">
        <f>E58-E59</f>
        <v>7388930.069</v>
      </c>
      <c r="F57" s="268">
        <f t="shared" si="45"/>
        <v>591.6289999997243</v>
      </c>
      <c r="G57" s="133">
        <f t="shared" si="11"/>
        <v>100.00800760556388</v>
      </c>
      <c r="H57" s="257">
        <f>H58-H59</f>
        <v>4253224.1</v>
      </c>
      <c r="I57" s="257">
        <f>I58-I59</f>
        <v>7388338.44</v>
      </c>
      <c r="J57" s="257">
        <f>J58-J59</f>
        <v>7388930.069</v>
      </c>
      <c r="K57" s="258">
        <f t="shared" si="4"/>
        <v>591.6289999997243</v>
      </c>
      <c r="L57" s="133">
        <f t="shared" si="7"/>
        <v>100.00800760556388</v>
      </c>
      <c r="M57" s="363">
        <f>M58-M59</f>
        <v>0</v>
      </c>
      <c r="N57" s="363">
        <f>N58-N59</f>
        <v>0</v>
      </c>
      <c r="O57" s="363">
        <f>O58-O59</f>
        <v>0</v>
      </c>
      <c r="P57" s="364">
        <f t="shared" si="46"/>
        <v>0</v>
      </c>
      <c r="Q57" s="352" t="e">
        <f t="shared" si="47"/>
        <v>#DIV/0!</v>
      </c>
    </row>
    <row r="58" spans="1:17" s="162" customFormat="1" ht="22.5" customHeight="1">
      <c r="A58" s="81" t="s">
        <v>216</v>
      </c>
      <c r="B58" s="110"/>
      <c r="C58" s="267">
        <f aca="true" t="shared" si="51" ref="C58:E59">H58+M58</f>
        <v>11000000</v>
      </c>
      <c r="D58" s="267">
        <f t="shared" si="51"/>
        <v>15654720</v>
      </c>
      <c r="E58" s="267">
        <f t="shared" si="51"/>
        <v>15654711.63</v>
      </c>
      <c r="F58" s="268">
        <f t="shared" si="45"/>
        <v>-8.369999999180436</v>
      </c>
      <c r="G58" s="133">
        <f t="shared" si="11"/>
        <v>99.9999465336972</v>
      </c>
      <c r="H58" s="257">
        <v>11000000</v>
      </c>
      <c r="I58" s="257">
        <f>4200000+11454720</f>
        <v>15654720</v>
      </c>
      <c r="J58" s="257">
        <f>3980745.706+11673965.924</f>
        <v>15654711.63</v>
      </c>
      <c r="K58" s="258">
        <f t="shared" si="4"/>
        <v>-8.369999999180436</v>
      </c>
      <c r="L58" s="133">
        <f t="shared" si="7"/>
        <v>99.9999465336972</v>
      </c>
      <c r="M58" s="363"/>
      <c r="N58" s="363"/>
      <c r="O58" s="363"/>
      <c r="P58" s="364">
        <f>O58-N58</f>
        <v>0</v>
      </c>
      <c r="Q58" s="352" t="e">
        <f>O58/N58*100</f>
        <v>#DIV/0!</v>
      </c>
    </row>
    <row r="59" spans="1:17" s="162" customFormat="1" ht="22.5" customHeight="1">
      <c r="A59" s="81" t="s">
        <v>217</v>
      </c>
      <c r="B59" s="110"/>
      <c r="C59" s="267">
        <f t="shared" si="51"/>
        <v>6746775.9</v>
      </c>
      <c r="D59" s="267">
        <f t="shared" si="51"/>
        <v>8266381.56</v>
      </c>
      <c r="E59" s="267">
        <f t="shared" si="51"/>
        <v>8265781.561000001</v>
      </c>
      <c r="F59" s="268">
        <f t="shared" si="45"/>
        <v>-599.9989999989048</v>
      </c>
      <c r="G59" s="133">
        <f t="shared" si="11"/>
        <v>99.99274169725116</v>
      </c>
      <c r="H59" s="257">
        <v>6746775.9</v>
      </c>
      <c r="I59" s="257">
        <v>8266381.56</v>
      </c>
      <c r="J59" s="257">
        <f>5142213.461+3123568.1</f>
        <v>8265781.561000001</v>
      </c>
      <c r="K59" s="258">
        <f t="shared" si="4"/>
        <v>-599.9989999989048</v>
      </c>
      <c r="L59" s="133">
        <f t="shared" si="7"/>
        <v>99.99274169725116</v>
      </c>
      <c r="M59" s="363"/>
      <c r="N59" s="363"/>
      <c r="O59" s="363"/>
      <c r="P59" s="364">
        <f>O59-N59</f>
        <v>0</v>
      </c>
      <c r="Q59" s="352" t="e">
        <f>O59/N59*100</f>
        <v>#DIV/0!</v>
      </c>
    </row>
    <row r="60" spans="1:17" s="52" customFormat="1" ht="22.5" customHeight="1">
      <c r="A60" s="89" t="s">
        <v>187</v>
      </c>
      <c r="B60" s="99">
        <v>3314</v>
      </c>
      <c r="C60" s="267">
        <f>C61-C62</f>
        <v>-191960</v>
      </c>
      <c r="D60" s="267">
        <f>D61-D62</f>
        <v>-184464.7</v>
      </c>
      <c r="E60" s="267">
        <f>E61-E62</f>
        <v>-127236.4</v>
      </c>
      <c r="F60" s="268">
        <f aca="true" t="shared" si="52" ref="F60:F65">E60-D60</f>
        <v>57228.30000000002</v>
      </c>
      <c r="G60" s="133">
        <f aca="true" t="shared" si="53" ref="G60:G65">E60/D60*100</f>
        <v>68.97601546528955</v>
      </c>
      <c r="H60" s="363">
        <f>H61-H62</f>
        <v>0</v>
      </c>
      <c r="I60" s="363">
        <f>I61-I62</f>
        <v>0</v>
      </c>
      <c r="J60" s="363">
        <f>J61-J62</f>
        <v>0</v>
      </c>
      <c r="K60" s="364">
        <f aca="true" t="shared" si="54" ref="K60:K65">J60-I60</f>
        <v>0</v>
      </c>
      <c r="L60" s="352" t="e">
        <f aca="true" t="shared" si="55" ref="L60:L65">J60/I60*100</f>
        <v>#DIV/0!</v>
      </c>
      <c r="M60" s="257">
        <f>M61-M62</f>
        <v>-191960</v>
      </c>
      <c r="N60" s="257">
        <f>N61-N62</f>
        <v>-184464.7</v>
      </c>
      <c r="O60" s="257">
        <f>O61-O62</f>
        <v>-127236.4</v>
      </c>
      <c r="P60" s="258">
        <f>O60-N60</f>
        <v>57228.30000000002</v>
      </c>
      <c r="Q60" s="133">
        <f>O60/N60*100</f>
        <v>68.97601546528955</v>
      </c>
    </row>
    <row r="61" spans="1:17" s="52" customFormat="1" ht="22.5" customHeight="1">
      <c r="A61" s="81" t="s">
        <v>216</v>
      </c>
      <c r="B61" s="110"/>
      <c r="C61" s="366">
        <f aca="true" t="shared" si="56" ref="C61:E62">H61+M61</f>
        <v>0</v>
      </c>
      <c r="D61" s="366">
        <f t="shared" si="56"/>
        <v>0</v>
      </c>
      <c r="E61" s="267">
        <f t="shared" si="56"/>
        <v>650</v>
      </c>
      <c r="F61" s="268">
        <f t="shared" si="52"/>
        <v>650</v>
      </c>
      <c r="G61" s="352" t="e">
        <f t="shared" si="53"/>
        <v>#DIV/0!</v>
      </c>
      <c r="H61" s="363"/>
      <c r="I61" s="363"/>
      <c r="J61" s="363"/>
      <c r="K61" s="364">
        <f t="shared" si="54"/>
        <v>0</v>
      </c>
      <c r="L61" s="352" t="e">
        <f t="shared" si="55"/>
        <v>#DIV/0!</v>
      </c>
      <c r="M61" s="257"/>
      <c r="N61" s="257"/>
      <c r="O61" s="257">
        <v>650</v>
      </c>
      <c r="P61" s="258">
        <f>O61-N61</f>
        <v>650</v>
      </c>
      <c r="Q61" s="352" t="e">
        <f>O61/N61*100</f>
        <v>#DIV/0!</v>
      </c>
    </row>
    <row r="62" spans="1:17" s="162" customFormat="1" ht="22.5" customHeight="1">
      <c r="A62" s="81" t="s">
        <v>217</v>
      </c>
      <c r="B62" s="110"/>
      <c r="C62" s="267">
        <f t="shared" si="56"/>
        <v>191960</v>
      </c>
      <c r="D62" s="267">
        <f t="shared" si="56"/>
        <v>184464.7</v>
      </c>
      <c r="E62" s="267">
        <f t="shared" si="56"/>
        <v>127886.4</v>
      </c>
      <c r="F62" s="268">
        <f t="shared" si="52"/>
        <v>-56578.30000000002</v>
      </c>
      <c r="G62" s="133">
        <f t="shared" si="53"/>
        <v>69.3283864067217</v>
      </c>
      <c r="H62" s="363"/>
      <c r="I62" s="363"/>
      <c r="J62" s="363"/>
      <c r="K62" s="364">
        <f t="shared" si="54"/>
        <v>0</v>
      </c>
      <c r="L62" s="352" t="e">
        <f t="shared" si="55"/>
        <v>#DIV/0!</v>
      </c>
      <c r="M62" s="257">
        <f>191460+500</f>
        <v>191960</v>
      </c>
      <c r="N62" s="257">
        <v>184464.7</v>
      </c>
      <c r="O62" s="257">
        <f>750+650+126486.4</f>
        <v>127886.4</v>
      </c>
      <c r="P62" s="258">
        <f>O62-N62</f>
        <v>-56578.30000000002</v>
      </c>
      <c r="Q62" s="133">
        <f>O62/N62*100</f>
        <v>69.3283864067217</v>
      </c>
    </row>
    <row r="63" spans="1:17" s="162" customFormat="1" ht="22.5" customHeight="1" hidden="1">
      <c r="A63" s="89" t="s">
        <v>309</v>
      </c>
      <c r="B63" s="99" t="s">
        <v>307</v>
      </c>
      <c r="C63" s="267">
        <f>C64-C65</f>
        <v>0</v>
      </c>
      <c r="D63" s="267">
        <f>D64-D65</f>
        <v>0</v>
      </c>
      <c r="E63" s="267">
        <f>E64-E65</f>
        <v>0</v>
      </c>
      <c r="F63" s="268">
        <f t="shared" si="52"/>
        <v>0</v>
      </c>
      <c r="G63" s="133" t="e">
        <f t="shared" si="53"/>
        <v>#DIV/0!</v>
      </c>
      <c r="H63" s="257">
        <f>H64-H65</f>
        <v>0</v>
      </c>
      <c r="I63" s="257">
        <f>I64-I65</f>
        <v>0</v>
      </c>
      <c r="J63" s="257">
        <f>J64-J65</f>
        <v>0</v>
      </c>
      <c r="K63" s="258">
        <f t="shared" si="54"/>
        <v>0</v>
      </c>
      <c r="L63" s="133" t="e">
        <f t="shared" si="55"/>
        <v>#DIV/0!</v>
      </c>
      <c r="M63" s="257"/>
      <c r="N63" s="257"/>
      <c r="O63" s="257"/>
      <c r="P63" s="258"/>
      <c r="Q63" s="133"/>
    </row>
    <row r="64" spans="1:17" s="162" customFormat="1" ht="22.5" customHeight="1" hidden="1">
      <c r="A64" s="81" t="s">
        <v>216</v>
      </c>
      <c r="B64" s="110"/>
      <c r="C64" s="267">
        <f aca="true" t="shared" si="57" ref="C64:E65">H64+M64</f>
        <v>0</v>
      </c>
      <c r="D64" s="267">
        <f t="shared" si="57"/>
        <v>0</v>
      </c>
      <c r="E64" s="267">
        <f t="shared" si="57"/>
        <v>0</v>
      </c>
      <c r="F64" s="268">
        <f t="shared" si="52"/>
        <v>0</v>
      </c>
      <c r="G64" s="133" t="e">
        <f t="shared" si="53"/>
        <v>#DIV/0!</v>
      </c>
      <c r="H64" s="257"/>
      <c r="I64" s="257"/>
      <c r="J64" s="257"/>
      <c r="K64" s="258">
        <f t="shared" si="54"/>
        <v>0</v>
      </c>
      <c r="L64" s="133" t="e">
        <f t="shared" si="55"/>
        <v>#DIV/0!</v>
      </c>
      <c r="M64" s="257"/>
      <c r="N64" s="257"/>
      <c r="O64" s="257"/>
      <c r="P64" s="258"/>
      <c r="Q64" s="133"/>
    </row>
    <row r="65" spans="1:17" s="162" customFormat="1" ht="22.5" customHeight="1" hidden="1">
      <c r="A65" s="81" t="s">
        <v>217</v>
      </c>
      <c r="B65" s="110"/>
      <c r="C65" s="267">
        <f t="shared" si="57"/>
        <v>0</v>
      </c>
      <c r="D65" s="267">
        <f t="shared" si="57"/>
        <v>0</v>
      </c>
      <c r="E65" s="267">
        <f t="shared" si="57"/>
        <v>0</v>
      </c>
      <c r="F65" s="268">
        <f t="shared" si="52"/>
        <v>0</v>
      </c>
      <c r="G65" s="133" t="e">
        <f t="shared" si="53"/>
        <v>#DIV/0!</v>
      </c>
      <c r="H65" s="257"/>
      <c r="I65" s="257"/>
      <c r="J65" s="257"/>
      <c r="K65" s="258">
        <f t="shared" si="54"/>
        <v>0</v>
      </c>
      <c r="L65" s="133" t="e">
        <f t="shared" si="55"/>
        <v>#DIV/0!</v>
      </c>
      <c r="M65" s="257"/>
      <c r="N65" s="257"/>
      <c r="O65" s="257"/>
      <c r="P65" s="258"/>
      <c r="Q65" s="133"/>
    </row>
    <row r="66" spans="1:17" s="52" customFormat="1" ht="22.5" customHeight="1">
      <c r="A66" s="74" t="s">
        <v>218</v>
      </c>
      <c r="B66" s="97"/>
      <c r="C66" s="265">
        <f>C67-C68</f>
        <v>27017326.6</v>
      </c>
      <c r="D66" s="265">
        <f>D67-D68</f>
        <v>19452873.94</v>
      </c>
      <c r="E66" s="265">
        <f>E67-E68</f>
        <v>17602200.288999997</v>
      </c>
      <c r="F66" s="266">
        <f aca="true" t="shared" si="58" ref="F66:F71">E66-D66</f>
        <v>-1850673.6510000043</v>
      </c>
      <c r="G66" s="82">
        <f t="shared" si="11"/>
        <v>90.4863741125955</v>
      </c>
      <c r="H66" s="255">
        <f>H67-H68</f>
        <v>27017326.6</v>
      </c>
      <c r="I66" s="255">
        <f>I67-I68</f>
        <v>19452873.94</v>
      </c>
      <c r="J66" s="255">
        <f>J67-J68</f>
        <v>17602200.288999997</v>
      </c>
      <c r="K66" s="256">
        <f t="shared" si="4"/>
        <v>-1850673.6510000043</v>
      </c>
      <c r="L66" s="82">
        <f t="shared" si="7"/>
        <v>90.4863741125955</v>
      </c>
      <c r="M66" s="255"/>
      <c r="N66" s="255"/>
      <c r="O66" s="255"/>
      <c r="P66" s="256"/>
      <c r="Q66" s="82"/>
    </row>
    <row r="67" spans="1:17" s="52" customFormat="1" ht="22.5" customHeight="1">
      <c r="A67" s="80" t="s">
        <v>216</v>
      </c>
      <c r="B67" s="97"/>
      <c r="C67" s="265">
        <f aca="true" t="shared" si="59" ref="C67:E68">C70</f>
        <v>34099583.5</v>
      </c>
      <c r="D67" s="265">
        <f t="shared" si="59"/>
        <v>26059089.1</v>
      </c>
      <c r="E67" s="265">
        <f t="shared" si="59"/>
        <v>24089699.091</v>
      </c>
      <c r="F67" s="266">
        <f t="shared" si="58"/>
        <v>-1969390.0090000033</v>
      </c>
      <c r="G67" s="82">
        <f t="shared" si="11"/>
        <v>92.44259842912159</v>
      </c>
      <c r="H67" s="255">
        <f aca="true" t="shared" si="60" ref="H67:J68">H70</f>
        <v>34099583.5</v>
      </c>
      <c r="I67" s="255">
        <f t="shared" si="60"/>
        <v>26059089.1</v>
      </c>
      <c r="J67" s="255">
        <f t="shared" si="60"/>
        <v>24089699.091</v>
      </c>
      <c r="K67" s="256">
        <f t="shared" si="4"/>
        <v>-1969390.0090000033</v>
      </c>
      <c r="L67" s="82">
        <f t="shared" si="7"/>
        <v>92.44259842912159</v>
      </c>
      <c r="M67" s="255"/>
      <c r="N67" s="255"/>
      <c r="O67" s="255"/>
      <c r="P67" s="256"/>
      <c r="Q67" s="82"/>
    </row>
    <row r="68" spans="1:17" s="52" customFormat="1" ht="22.5" customHeight="1">
      <c r="A68" s="80" t="s">
        <v>217</v>
      </c>
      <c r="B68" s="97"/>
      <c r="C68" s="265">
        <f t="shared" si="59"/>
        <v>7082256.9</v>
      </c>
      <c r="D68" s="265">
        <f t="shared" si="59"/>
        <v>6606215.16</v>
      </c>
      <c r="E68" s="265">
        <f t="shared" si="59"/>
        <v>6487498.801999999</v>
      </c>
      <c r="F68" s="266">
        <f t="shared" si="58"/>
        <v>-118716.35800000094</v>
      </c>
      <c r="G68" s="82">
        <f t="shared" si="11"/>
        <v>98.2029595596762</v>
      </c>
      <c r="H68" s="255">
        <f t="shared" si="60"/>
        <v>7082256.9</v>
      </c>
      <c r="I68" s="255">
        <f t="shared" si="60"/>
        <v>6606215.16</v>
      </c>
      <c r="J68" s="255">
        <f t="shared" si="60"/>
        <v>6487498.801999999</v>
      </c>
      <c r="K68" s="256">
        <f t="shared" si="4"/>
        <v>-118716.35800000094</v>
      </c>
      <c r="L68" s="82">
        <f t="shared" si="7"/>
        <v>98.2029595596762</v>
      </c>
      <c r="M68" s="255"/>
      <c r="N68" s="255"/>
      <c r="O68" s="255"/>
      <c r="P68" s="256"/>
      <c r="Q68" s="82"/>
    </row>
    <row r="69" spans="1:17" s="162" customFormat="1" ht="22.5" customHeight="1">
      <c r="A69" s="89" t="s">
        <v>188</v>
      </c>
      <c r="B69" s="99">
        <v>3324</v>
      </c>
      <c r="C69" s="267">
        <f>C70-C71</f>
        <v>27017326.6</v>
      </c>
      <c r="D69" s="267">
        <f>D70-D71</f>
        <v>19452873.94</v>
      </c>
      <c r="E69" s="267">
        <f>E70-E71</f>
        <v>17602200.288999997</v>
      </c>
      <c r="F69" s="268">
        <f t="shared" si="58"/>
        <v>-1850673.6510000043</v>
      </c>
      <c r="G69" s="82">
        <f t="shared" si="11"/>
        <v>90.4863741125955</v>
      </c>
      <c r="H69" s="257">
        <f>H70-H71</f>
        <v>27017326.6</v>
      </c>
      <c r="I69" s="257">
        <f>I70-I71</f>
        <v>19452873.94</v>
      </c>
      <c r="J69" s="257">
        <f>J70-J71</f>
        <v>17602200.288999997</v>
      </c>
      <c r="K69" s="258">
        <f t="shared" si="4"/>
        <v>-1850673.6510000043</v>
      </c>
      <c r="L69" s="82">
        <f t="shared" si="7"/>
        <v>90.4863741125955</v>
      </c>
      <c r="M69" s="257"/>
      <c r="N69" s="257"/>
      <c r="O69" s="257"/>
      <c r="P69" s="258"/>
      <c r="Q69" s="82"/>
    </row>
    <row r="70" spans="1:17" s="162" customFormat="1" ht="22.5" customHeight="1">
      <c r="A70" s="81" t="s">
        <v>216</v>
      </c>
      <c r="B70" s="110"/>
      <c r="C70" s="267">
        <f aca="true" t="shared" si="61" ref="C70:E71">H70+M70</f>
        <v>34099583.5</v>
      </c>
      <c r="D70" s="267">
        <f t="shared" si="61"/>
        <v>26059089.1</v>
      </c>
      <c r="E70" s="267">
        <f t="shared" si="61"/>
        <v>24089699.091</v>
      </c>
      <c r="F70" s="268">
        <f t="shared" si="58"/>
        <v>-1969390.0090000033</v>
      </c>
      <c r="G70" s="133">
        <f t="shared" si="11"/>
        <v>92.44259842912159</v>
      </c>
      <c r="H70" s="257">
        <f>4569195.1+29530388.4</f>
        <v>34099583.5</v>
      </c>
      <c r="I70" s="257">
        <f>1809600+24249489.1</f>
        <v>26059089.1</v>
      </c>
      <c r="J70" s="257">
        <f>1866829.191+22222869.9</f>
        <v>24089699.091</v>
      </c>
      <c r="K70" s="258">
        <f t="shared" si="4"/>
        <v>-1969390.0090000033</v>
      </c>
      <c r="L70" s="133">
        <f t="shared" si="7"/>
        <v>92.44259842912159</v>
      </c>
      <c r="M70" s="257"/>
      <c r="N70" s="257"/>
      <c r="O70" s="257"/>
      <c r="P70" s="258"/>
      <c r="Q70" s="133"/>
    </row>
    <row r="71" spans="1:17" s="162" customFormat="1" ht="22.5" customHeight="1">
      <c r="A71" s="81" t="s">
        <v>217</v>
      </c>
      <c r="B71" s="110"/>
      <c r="C71" s="267">
        <f t="shared" si="61"/>
        <v>7082256.9</v>
      </c>
      <c r="D71" s="267">
        <f t="shared" si="61"/>
        <v>6606215.16</v>
      </c>
      <c r="E71" s="267">
        <f t="shared" si="61"/>
        <v>6487498.801999999</v>
      </c>
      <c r="F71" s="268">
        <f t="shared" si="58"/>
        <v>-118716.35800000094</v>
      </c>
      <c r="G71" s="133">
        <f t="shared" si="11"/>
        <v>98.2029595596762</v>
      </c>
      <c r="H71" s="257">
        <v>7082256.9</v>
      </c>
      <c r="I71" s="257">
        <v>6606215.16</v>
      </c>
      <c r="J71" s="257">
        <f>1738694.372+4748804.43</f>
        <v>6487498.801999999</v>
      </c>
      <c r="K71" s="258">
        <f t="shared" si="4"/>
        <v>-118716.35800000094</v>
      </c>
      <c r="L71" s="133">
        <f t="shared" si="7"/>
        <v>98.2029595596762</v>
      </c>
      <c r="M71" s="257"/>
      <c r="N71" s="257"/>
      <c r="O71" s="257"/>
      <c r="P71" s="258"/>
      <c r="Q71" s="133"/>
    </row>
    <row r="72" spans="1:17" s="162" customFormat="1" ht="22.5" customHeight="1">
      <c r="A72" s="75" t="s">
        <v>1</v>
      </c>
      <c r="B72" s="102"/>
      <c r="C72" s="365">
        <f>C73</f>
        <v>0</v>
      </c>
      <c r="D72" s="265">
        <f>D73</f>
        <v>-9659.9</v>
      </c>
      <c r="E72" s="265">
        <f>E73</f>
        <v>-8798.5</v>
      </c>
      <c r="F72" s="266">
        <f aca="true" t="shared" si="62" ref="F72:F78">E72-D72</f>
        <v>861.3999999999996</v>
      </c>
      <c r="G72" s="82">
        <f aca="true" t="shared" si="63" ref="G72:G78">E72/D72*100</f>
        <v>91.08272342363793</v>
      </c>
      <c r="H72" s="361">
        <f>H73</f>
        <v>0</v>
      </c>
      <c r="I72" s="361">
        <f>I73</f>
        <v>0</v>
      </c>
      <c r="J72" s="361">
        <f>J73</f>
        <v>0</v>
      </c>
      <c r="K72" s="362">
        <f aca="true" t="shared" si="64" ref="K72:K78">J72-I72</f>
        <v>0</v>
      </c>
      <c r="L72" s="355" t="e">
        <f aca="true" t="shared" si="65" ref="L72:L78">J72/I72*100</f>
        <v>#DIV/0!</v>
      </c>
      <c r="M72" s="361">
        <f>M73</f>
        <v>0</v>
      </c>
      <c r="N72" s="255">
        <f>N73</f>
        <v>-9659.9</v>
      </c>
      <c r="O72" s="255">
        <f>O73</f>
        <v>-8798.5</v>
      </c>
      <c r="P72" s="256">
        <f aca="true" t="shared" si="66" ref="P72:P85">O72-N72</f>
        <v>861.3999999999996</v>
      </c>
      <c r="Q72" s="82">
        <f aca="true" t="shared" si="67" ref="Q72:Q89">O72/N72*100</f>
        <v>91.08272342363793</v>
      </c>
    </row>
    <row r="73" spans="1:17" s="162" customFormat="1" ht="22.5" customHeight="1">
      <c r="A73" s="74" t="s">
        <v>215</v>
      </c>
      <c r="B73" s="97"/>
      <c r="C73" s="365">
        <f>C74-C75</f>
        <v>0</v>
      </c>
      <c r="D73" s="265">
        <f>D74-D75</f>
        <v>-9659.9</v>
      </c>
      <c r="E73" s="265">
        <f>E74-E75</f>
        <v>-8798.5</v>
      </c>
      <c r="F73" s="266">
        <f t="shared" si="62"/>
        <v>861.3999999999996</v>
      </c>
      <c r="G73" s="82">
        <f t="shared" si="63"/>
        <v>91.08272342363793</v>
      </c>
      <c r="H73" s="361">
        <f>H74-H75</f>
        <v>0</v>
      </c>
      <c r="I73" s="361">
        <f>I74-I75</f>
        <v>0</v>
      </c>
      <c r="J73" s="361">
        <f>J74-J75</f>
        <v>0</v>
      </c>
      <c r="K73" s="362">
        <f t="shared" si="64"/>
        <v>0</v>
      </c>
      <c r="L73" s="355" t="e">
        <f t="shared" si="65"/>
        <v>#DIV/0!</v>
      </c>
      <c r="M73" s="361">
        <f>M74-M75</f>
        <v>0</v>
      </c>
      <c r="N73" s="255">
        <f>N74-N75</f>
        <v>-9659.9</v>
      </c>
      <c r="O73" s="255">
        <f>O74-O75</f>
        <v>-8798.5</v>
      </c>
      <c r="P73" s="256">
        <f t="shared" si="66"/>
        <v>861.3999999999996</v>
      </c>
      <c r="Q73" s="82">
        <f t="shared" si="67"/>
        <v>91.08272342363793</v>
      </c>
    </row>
    <row r="74" spans="1:17" s="162" customFormat="1" ht="22.5" customHeight="1" hidden="1">
      <c r="A74" s="80" t="s">
        <v>216</v>
      </c>
      <c r="B74" s="97"/>
      <c r="C74" s="365">
        <f aca="true" t="shared" si="68" ref="C74:E75">C77</f>
        <v>0</v>
      </c>
      <c r="D74" s="265">
        <f t="shared" si="68"/>
        <v>0</v>
      </c>
      <c r="E74" s="265">
        <f t="shared" si="68"/>
        <v>0</v>
      </c>
      <c r="F74" s="266">
        <f t="shared" si="62"/>
        <v>0</v>
      </c>
      <c r="G74" s="82" t="e">
        <f t="shared" si="63"/>
        <v>#DIV/0!</v>
      </c>
      <c r="H74" s="361">
        <f aca="true" t="shared" si="69" ref="H74:J75">H77</f>
        <v>0</v>
      </c>
      <c r="I74" s="361">
        <f t="shared" si="69"/>
        <v>0</v>
      </c>
      <c r="J74" s="361">
        <f t="shared" si="69"/>
        <v>0</v>
      </c>
      <c r="K74" s="362">
        <f t="shared" si="64"/>
        <v>0</v>
      </c>
      <c r="L74" s="355" t="e">
        <f t="shared" si="65"/>
        <v>#DIV/0!</v>
      </c>
      <c r="M74" s="361">
        <f aca="true" t="shared" si="70" ref="M74:O75">M77</f>
        <v>0</v>
      </c>
      <c r="N74" s="255">
        <f t="shared" si="70"/>
        <v>0</v>
      </c>
      <c r="O74" s="255">
        <f t="shared" si="70"/>
        <v>0</v>
      </c>
      <c r="P74" s="256">
        <f t="shared" si="66"/>
        <v>0</v>
      </c>
      <c r="Q74" s="82" t="e">
        <f t="shared" si="67"/>
        <v>#DIV/0!</v>
      </c>
    </row>
    <row r="75" spans="1:17" s="162" customFormat="1" ht="22.5" customHeight="1">
      <c r="A75" s="80" t="s">
        <v>217</v>
      </c>
      <c r="B75" s="97"/>
      <c r="C75" s="365">
        <f t="shared" si="68"/>
        <v>0</v>
      </c>
      <c r="D75" s="265">
        <f t="shared" si="68"/>
        <v>9659.9</v>
      </c>
      <c r="E75" s="265">
        <f t="shared" si="68"/>
        <v>8798.5</v>
      </c>
      <c r="F75" s="266">
        <f t="shared" si="62"/>
        <v>-861.3999999999996</v>
      </c>
      <c r="G75" s="82">
        <f t="shared" si="63"/>
        <v>91.08272342363793</v>
      </c>
      <c r="H75" s="361">
        <f t="shared" si="69"/>
        <v>0</v>
      </c>
      <c r="I75" s="361">
        <f t="shared" si="69"/>
        <v>0</v>
      </c>
      <c r="J75" s="361">
        <f t="shared" si="69"/>
        <v>0</v>
      </c>
      <c r="K75" s="362">
        <f t="shared" si="64"/>
        <v>0</v>
      </c>
      <c r="L75" s="355" t="e">
        <f t="shared" si="65"/>
        <v>#DIV/0!</v>
      </c>
      <c r="M75" s="361">
        <f t="shared" si="70"/>
        <v>0</v>
      </c>
      <c r="N75" s="255">
        <f t="shared" si="70"/>
        <v>9659.9</v>
      </c>
      <c r="O75" s="255">
        <f t="shared" si="70"/>
        <v>8798.5</v>
      </c>
      <c r="P75" s="256">
        <f t="shared" si="66"/>
        <v>-861.3999999999996</v>
      </c>
      <c r="Q75" s="82">
        <f t="shared" si="67"/>
        <v>91.08272342363793</v>
      </c>
    </row>
    <row r="76" spans="1:17" s="162" customFormat="1" ht="22.5" customHeight="1">
      <c r="A76" s="89" t="s">
        <v>187</v>
      </c>
      <c r="B76" s="99">
        <v>3314</v>
      </c>
      <c r="C76" s="366">
        <f>C77-C78</f>
        <v>0</v>
      </c>
      <c r="D76" s="267">
        <f>D77-D78</f>
        <v>-9659.9</v>
      </c>
      <c r="E76" s="267">
        <f>E77-E78</f>
        <v>-8798.5</v>
      </c>
      <c r="F76" s="268">
        <f t="shared" si="62"/>
        <v>861.3999999999996</v>
      </c>
      <c r="G76" s="133">
        <f t="shared" si="63"/>
        <v>91.08272342363793</v>
      </c>
      <c r="H76" s="363">
        <f>H77-H78</f>
        <v>0</v>
      </c>
      <c r="I76" s="363">
        <f>I77-I78</f>
        <v>0</v>
      </c>
      <c r="J76" s="363">
        <f>J77-J78</f>
        <v>0</v>
      </c>
      <c r="K76" s="364">
        <f t="shared" si="64"/>
        <v>0</v>
      </c>
      <c r="L76" s="352" t="e">
        <f t="shared" si="65"/>
        <v>#DIV/0!</v>
      </c>
      <c r="M76" s="363">
        <f>M77-M78</f>
        <v>0</v>
      </c>
      <c r="N76" s="257">
        <f>N77-N78</f>
        <v>-9659.9</v>
      </c>
      <c r="O76" s="257">
        <f>O77-O78</f>
        <v>-8798.5</v>
      </c>
      <c r="P76" s="258">
        <f t="shared" si="66"/>
        <v>861.3999999999996</v>
      </c>
      <c r="Q76" s="133">
        <f t="shared" si="67"/>
        <v>91.08272342363793</v>
      </c>
    </row>
    <row r="77" spans="1:17" s="162" customFormat="1" ht="22.5" customHeight="1" hidden="1">
      <c r="A77" s="81" t="s">
        <v>216</v>
      </c>
      <c r="B77" s="110"/>
      <c r="C77" s="366">
        <f aca="true" t="shared" si="71" ref="C77:E78">H77+M77</f>
        <v>0</v>
      </c>
      <c r="D77" s="267">
        <f t="shared" si="71"/>
        <v>0</v>
      </c>
      <c r="E77" s="267">
        <f t="shared" si="71"/>
        <v>0</v>
      </c>
      <c r="F77" s="268">
        <f t="shared" si="62"/>
        <v>0</v>
      </c>
      <c r="G77" s="133" t="e">
        <f t="shared" si="63"/>
        <v>#DIV/0!</v>
      </c>
      <c r="H77" s="363"/>
      <c r="I77" s="363"/>
      <c r="J77" s="363"/>
      <c r="K77" s="364">
        <f t="shared" si="64"/>
        <v>0</v>
      </c>
      <c r="L77" s="352" t="e">
        <f t="shared" si="65"/>
        <v>#DIV/0!</v>
      </c>
      <c r="M77" s="257"/>
      <c r="N77" s="257"/>
      <c r="O77" s="257"/>
      <c r="P77" s="258">
        <f t="shared" si="66"/>
        <v>0</v>
      </c>
      <c r="Q77" s="133" t="e">
        <f t="shared" si="67"/>
        <v>#DIV/0!</v>
      </c>
    </row>
    <row r="78" spans="1:17" s="162" customFormat="1" ht="22.5" customHeight="1">
      <c r="A78" s="81" t="s">
        <v>217</v>
      </c>
      <c r="B78" s="110"/>
      <c r="C78" s="366">
        <f t="shared" si="71"/>
        <v>0</v>
      </c>
      <c r="D78" s="267">
        <f t="shared" si="71"/>
        <v>9659.9</v>
      </c>
      <c r="E78" s="267">
        <f t="shared" si="71"/>
        <v>8798.5</v>
      </c>
      <c r="F78" s="268">
        <f t="shared" si="62"/>
        <v>-861.3999999999996</v>
      </c>
      <c r="G78" s="133">
        <f t="shared" si="63"/>
        <v>91.08272342363793</v>
      </c>
      <c r="H78" s="363"/>
      <c r="I78" s="363"/>
      <c r="J78" s="363"/>
      <c r="K78" s="364">
        <f t="shared" si="64"/>
        <v>0</v>
      </c>
      <c r="L78" s="352" t="e">
        <f t="shared" si="65"/>
        <v>#DIV/0!</v>
      </c>
      <c r="M78" s="257"/>
      <c r="N78" s="257">
        <v>9659.9</v>
      </c>
      <c r="O78" s="257">
        <v>8798.5</v>
      </c>
      <c r="P78" s="258">
        <f t="shared" si="66"/>
        <v>-861.3999999999996</v>
      </c>
      <c r="Q78" s="133">
        <f t="shared" si="67"/>
        <v>91.08272342363793</v>
      </c>
    </row>
    <row r="79" spans="1:17" s="162" customFormat="1" ht="22.5" customHeight="1">
      <c r="A79" s="75" t="s">
        <v>3</v>
      </c>
      <c r="B79" s="102"/>
      <c r="C79" s="265">
        <f>C80</f>
        <v>-4000</v>
      </c>
      <c r="D79" s="265">
        <f>D80</f>
        <v>-4067</v>
      </c>
      <c r="E79" s="265">
        <f>E80</f>
        <v>-4067</v>
      </c>
      <c r="F79" s="367">
        <f aca="true" t="shared" si="72" ref="F79:F85">E79-D79</f>
        <v>0</v>
      </c>
      <c r="G79" s="82">
        <f aca="true" t="shared" si="73" ref="G79:G89">E79/D79*100</f>
        <v>100</v>
      </c>
      <c r="H79" s="361">
        <f>H80</f>
        <v>0</v>
      </c>
      <c r="I79" s="361">
        <f>I80</f>
        <v>0</v>
      </c>
      <c r="J79" s="361">
        <f>J80</f>
        <v>0</v>
      </c>
      <c r="K79" s="362">
        <f aca="true" t="shared" si="74" ref="K79:K85">J79-I79</f>
        <v>0</v>
      </c>
      <c r="L79" s="355" t="e">
        <f aca="true" t="shared" si="75" ref="L79:L89">J79/I79*100</f>
        <v>#DIV/0!</v>
      </c>
      <c r="M79" s="255">
        <f>M80</f>
        <v>-4000</v>
      </c>
      <c r="N79" s="255">
        <f>N80</f>
        <v>-4067</v>
      </c>
      <c r="O79" s="255">
        <f>O80</f>
        <v>-4067</v>
      </c>
      <c r="P79" s="362">
        <f t="shared" si="66"/>
        <v>0</v>
      </c>
      <c r="Q79" s="82">
        <f t="shared" si="67"/>
        <v>100</v>
      </c>
    </row>
    <row r="80" spans="1:17" s="162" customFormat="1" ht="22.5" customHeight="1">
      <c r="A80" s="74" t="s">
        <v>215</v>
      </c>
      <c r="B80" s="97"/>
      <c r="C80" s="265">
        <f>C81-C82</f>
        <v>-4000</v>
      </c>
      <c r="D80" s="265">
        <f>D81-D82</f>
        <v>-4067</v>
      </c>
      <c r="E80" s="265">
        <f>E81-E82</f>
        <v>-4067</v>
      </c>
      <c r="F80" s="367">
        <f t="shared" si="72"/>
        <v>0</v>
      </c>
      <c r="G80" s="82">
        <f t="shared" si="73"/>
        <v>100</v>
      </c>
      <c r="H80" s="361">
        <f>H81-H82</f>
        <v>0</v>
      </c>
      <c r="I80" s="361">
        <f>I81-I82</f>
        <v>0</v>
      </c>
      <c r="J80" s="361">
        <f>J81-J82</f>
        <v>0</v>
      </c>
      <c r="K80" s="362">
        <f t="shared" si="74"/>
        <v>0</v>
      </c>
      <c r="L80" s="355" t="e">
        <f t="shared" si="75"/>
        <v>#DIV/0!</v>
      </c>
      <c r="M80" s="255">
        <f>M81-M82</f>
        <v>-4000</v>
      </c>
      <c r="N80" s="255">
        <f>N81-N82</f>
        <v>-4067</v>
      </c>
      <c r="O80" s="255">
        <f>O81-O82</f>
        <v>-4067</v>
      </c>
      <c r="P80" s="362">
        <f t="shared" si="66"/>
        <v>0</v>
      </c>
      <c r="Q80" s="82">
        <f t="shared" si="67"/>
        <v>100</v>
      </c>
    </row>
    <row r="81" spans="1:17" s="162" customFormat="1" ht="22.5" customHeight="1" hidden="1">
      <c r="A81" s="80" t="s">
        <v>216</v>
      </c>
      <c r="B81" s="97"/>
      <c r="C81" s="265">
        <f aca="true" t="shared" si="76" ref="C81:E82">C84</f>
        <v>0</v>
      </c>
      <c r="D81" s="265">
        <f t="shared" si="76"/>
        <v>0</v>
      </c>
      <c r="E81" s="265">
        <f t="shared" si="76"/>
        <v>0</v>
      </c>
      <c r="F81" s="367">
        <f t="shared" si="72"/>
        <v>0</v>
      </c>
      <c r="G81" s="82" t="e">
        <f t="shared" si="73"/>
        <v>#DIV/0!</v>
      </c>
      <c r="H81" s="361">
        <f aca="true" t="shared" si="77" ref="H81:J82">H84</f>
        <v>0</v>
      </c>
      <c r="I81" s="361">
        <f t="shared" si="77"/>
        <v>0</v>
      </c>
      <c r="J81" s="361">
        <f t="shared" si="77"/>
        <v>0</v>
      </c>
      <c r="K81" s="362">
        <f t="shared" si="74"/>
        <v>0</v>
      </c>
      <c r="L81" s="355" t="e">
        <f t="shared" si="75"/>
        <v>#DIV/0!</v>
      </c>
      <c r="M81" s="255">
        <f aca="true" t="shared" si="78" ref="M81:O82">M84</f>
        <v>0</v>
      </c>
      <c r="N81" s="255">
        <f t="shared" si="78"/>
        <v>0</v>
      </c>
      <c r="O81" s="255">
        <f t="shared" si="78"/>
        <v>0</v>
      </c>
      <c r="P81" s="362">
        <f t="shared" si="66"/>
        <v>0</v>
      </c>
      <c r="Q81" s="82" t="e">
        <f t="shared" si="67"/>
        <v>#DIV/0!</v>
      </c>
    </row>
    <row r="82" spans="1:17" s="162" customFormat="1" ht="22.5" customHeight="1">
      <c r="A82" s="80" t="s">
        <v>217</v>
      </c>
      <c r="B82" s="97"/>
      <c r="C82" s="265">
        <f t="shared" si="76"/>
        <v>4000</v>
      </c>
      <c r="D82" s="265">
        <f t="shared" si="76"/>
        <v>4067</v>
      </c>
      <c r="E82" s="265">
        <f t="shared" si="76"/>
        <v>4067</v>
      </c>
      <c r="F82" s="367">
        <f t="shared" si="72"/>
        <v>0</v>
      </c>
      <c r="G82" s="82">
        <f t="shared" si="73"/>
        <v>100</v>
      </c>
      <c r="H82" s="361">
        <f t="shared" si="77"/>
        <v>0</v>
      </c>
      <c r="I82" s="361">
        <f t="shared" si="77"/>
        <v>0</v>
      </c>
      <c r="J82" s="361">
        <f t="shared" si="77"/>
        <v>0</v>
      </c>
      <c r="K82" s="362">
        <f t="shared" si="74"/>
        <v>0</v>
      </c>
      <c r="L82" s="355" t="e">
        <f t="shared" si="75"/>
        <v>#DIV/0!</v>
      </c>
      <c r="M82" s="255">
        <f t="shared" si="78"/>
        <v>4000</v>
      </c>
      <c r="N82" s="255">
        <f t="shared" si="78"/>
        <v>4067</v>
      </c>
      <c r="O82" s="255">
        <f t="shared" si="78"/>
        <v>4067</v>
      </c>
      <c r="P82" s="362">
        <f t="shared" si="66"/>
        <v>0</v>
      </c>
      <c r="Q82" s="82">
        <f t="shared" si="67"/>
        <v>100</v>
      </c>
    </row>
    <row r="83" spans="1:17" s="162" customFormat="1" ht="22.5" customHeight="1">
      <c r="A83" s="89" t="s">
        <v>187</v>
      </c>
      <c r="B83" s="99">
        <v>3314</v>
      </c>
      <c r="C83" s="267">
        <f>C84-C85</f>
        <v>-4000</v>
      </c>
      <c r="D83" s="267">
        <f>D84-D85</f>
        <v>-4067</v>
      </c>
      <c r="E83" s="267">
        <f>E84-E85</f>
        <v>-4067</v>
      </c>
      <c r="F83" s="368">
        <f t="shared" si="72"/>
        <v>0</v>
      </c>
      <c r="G83" s="133">
        <f t="shared" si="73"/>
        <v>100</v>
      </c>
      <c r="H83" s="363">
        <f>H84-H85</f>
        <v>0</v>
      </c>
      <c r="I83" s="363">
        <f>I84-I85</f>
        <v>0</v>
      </c>
      <c r="J83" s="363">
        <f>J84-J85</f>
        <v>0</v>
      </c>
      <c r="K83" s="364">
        <f t="shared" si="74"/>
        <v>0</v>
      </c>
      <c r="L83" s="352" t="e">
        <f t="shared" si="75"/>
        <v>#DIV/0!</v>
      </c>
      <c r="M83" s="257">
        <f>M84-M85</f>
        <v>-4000</v>
      </c>
      <c r="N83" s="257">
        <f>N84-N85</f>
        <v>-4067</v>
      </c>
      <c r="O83" s="257">
        <f>O84-O85</f>
        <v>-4067</v>
      </c>
      <c r="P83" s="364">
        <f t="shared" si="66"/>
        <v>0</v>
      </c>
      <c r="Q83" s="133">
        <f t="shared" si="67"/>
        <v>100</v>
      </c>
    </row>
    <row r="84" spans="1:17" s="162" customFormat="1" ht="22.5" customHeight="1" hidden="1">
      <c r="A84" s="81" t="s">
        <v>216</v>
      </c>
      <c r="B84" s="110"/>
      <c r="C84" s="267">
        <f aca="true" t="shared" si="79" ref="C84:E85">H84+M84</f>
        <v>0</v>
      </c>
      <c r="D84" s="267">
        <f t="shared" si="79"/>
        <v>0</v>
      </c>
      <c r="E84" s="267">
        <f t="shared" si="79"/>
        <v>0</v>
      </c>
      <c r="F84" s="368">
        <f t="shared" si="72"/>
        <v>0</v>
      </c>
      <c r="G84" s="133" t="e">
        <f t="shared" si="73"/>
        <v>#DIV/0!</v>
      </c>
      <c r="H84" s="363"/>
      <c r="I84" s="363"/>
      <c r="J84" s="363"/>
      <c r="K84" s="364">
        <f t="shared" si="74"/>
        <v>0</v>
      </c>
      <c r="L84" s="352" t="e">
        <f t="shared" si="75"/>
        <v>#DIV/0!</v>
      </c>
      <c r="M84" s="257"/>
      <c r="N84" s="257"/>
      <c r="O84" s="257"/>
      <c r="P84" s="364">
        <f t="shared" si="66"/>
        <v>0</v>
      </c>
      <c r="Q84" s="133" t="e">
        <f t="shared" si="67"/>
        <v>#DIV/0!</v>
      </c>
    </row>
    <row r="85" spans="1:17" s="162" customFormat="1" ht="22.5" customHeight="1">
      <c r="A85" s="81" t="s">
        <v>217</v>
      </c>
      <c r="B85" s="110"/>
      <c r="C85" s="267">
        <f t="shared" si="79"/>
        <v>4000</v>
      </c>
      <c r="D85" s="267">
        <f t="shared" si="79"/>
        <v>4067</v>
      </c>
      <c r="E85" s="267">
        <f t="shared" si="79"/>
        <v>4067</v>
      </c>
      <c r="F85" s="368">
        <f t="shared" si="72"/>
        <v>0</v>
      </c>
      <c r="G85" s="133">
        <f t="shared" si="73"/>
        <v>100</v>
      </c>
      <c r="H85" s="363"/>
      <c r="I85" s="363"/>
      <c r="J85" s="363"/>
      <c r="K85" s="364">
        <f t="shared" si="74"/>
        <v>0</v>
      </c>
      <c r="L85" s="352" t="e">
        <f t="shared" si="75"/>
        <v>#DIV/0!</v>
      </c>
      <c r="M85" s="257">
        <v>4000</v>
      </c>
      <c r="N85" s="257">
        <v>4067</v>
      </c>
      <c r="O85" s="257">
        <v>4067</v>
      </c>
      <c r="P85" s="364">
        <f t="shared" si="66"/>
        <v>0</v>
      </c>
      <c r="Q85" s="133">
        <f t="shared" si="67"/>
        <v>100</v>
      </c>
    </row>
    <row r="86" spans="1:17" s="162" customFormat="1" ht="22.5" customHeight="1">
      <c r="A86" s="81"/>
      <c r="B86" s="110"/>
      <c r="C86" s="267"/>
      <c r="D86" s="267"/>
      <c r="E86" s="267"/>
      <c r="F86" s="268"/>
      <c r="G86" s="82"/>
      <c r="H86" s="257"/>
      <c r="I86" s="257"/>
      <c r="J86" s="257"/>
      <c r="K86" s="258"/>
      <c r="L86" s="82"/>
      <c r="M86" s="257"/>
      <c r="N86" s="257"/>
      <c r="O86" s="257"/>
      <c r="P86" s="258"/>
      <c r="Q86" s="140"/>
    </row>
    <row r="87" spans="1:17" s="165" customFormat="1" ht="22.5" customHeight="1">
      <c r="A87" s="87" t="s">
        <v>220</v>
      </c>
      <c r="B87" s="103"/>
      <c r="C87" s="265">
        <f>C52-C4</f>
        <v>20226730.200000003</v>
      </c>
      <c r="D87" s="265">
        <f>D52-D4</f>
        <v>16514893.18</v>
      </c>
      <c r="E87" s="265">
        <f>E52-E4</f>
        <v>16823865.051999997</v>
      </c>
      <c r="F87" s="266">
        <f>E87-D87</f>
        <v>308971.87199999765</v>
      </c>
      <c r="G87" s="352">
        <f t="shared" si="73"/>
        <v>101.87086812268437</v>
      </c>
      <c r="H87" s="255">
        <f>H52-H4</f>
        <v>20422714.200000003</v>
      </c>
      <c r="I87" s="255">
        <f>I52-I4</f>
        <v>16714431.780000001</v>
      </c>
      <c r="J87" s="255">
        <f>J52-J4</f>
        <v>16948603.951999996</v>
      </c>
      <c r="K87" s="256">
        <f t="shared" si="4"/>
        <v>234172.17199999467</v>
      </c>
      <c r="L87" s="352">
        <f t="shared" si="75"/>
        <v>101.40101784542983</v>
      </c>
      <c r="M87" s="255">
        <f>M52-M4</f>
        <v>-195984</v>
      </c>
      <c r="N87" s="255">
        <f>N52-N4</f>
        <v>-199538.6</v>
      </c>
      <c r="O87" s="255">
        <f>O52-O4</f>
        <v>-124738.9</v>
      </c>
      <c r="P87" s="256">
        <f>O87-N87</f>
        <v>74799.70000000001</v>
      </c>
      <c r="Q87" s="352">
        <f t="shared" si="67"/>
        <v>62.5136690344625</v>
      </c>
    </row>
    <row r="88" spans="1:17" s="165" customFormat="1" ht="22.5" customHeight="1">
      <c r="A88" s="90"/>
      <c r="B88" s="103"/>
      <c r="C88" s="265"/>
      <c r="D88" s="265"/>
      <c r="E88" s="265"/>
      <c r="F88" s="266"/>
      <c r="G88" s="82"/>
      <c r="H88" s="255"/>
      <c r="I88" s="255"/>
      <c r="J88" s="255"/>
      <c r="K88" s="256"/>
      <c r="L88" s="82"/>
      <c r="M88" s="255"/>
      <c r="N88" s="255"/>
      <c r="O88" s="255"/>
      <c r="P88" s="256"/>
      <c r="Q88" s="139"/>
    </row>
    <row r="89" spans="1:17" s="165" customFormat="1" ht="22.5" customHeight="1">
      <c r="A89" s="87" t="s">
        <v>219</v>
      </c>
      <c r="B89" s="104"/>
      <c r="C89" s="265">
        <f>НФА!C342+ФАиО!C87</f>
        <v>-1861643.0999999866</v>
      </c>
      <c r="D89" s="265">
        <f>НФА!D342+ФАиО!D87</f>
        <v>-5860638.797000006</v>
      </c>
      <c r="E89" s="265">
        <f>НФА!E342+ФАиО!E87</f>
        <v>347704.84300002083</v>
      </c>
      <c r="F89" s="266">
        <f>E89-D89</f>
        <v>6208343.640000027</v>
      </c>
      <c r="G89" s="369">
        <f t="shared" si="73"/>
        <v>-5.932883002071497</v>
      </c>
      <c r="H89" s="255">
        <f>НФА!H342+ФАиО!H87</f>
        <v>-2899224.099999994</v>
      </c>
      <c r="I89" s="255">
        <f>НФА!I342+ФАиО!I87</f>
        <v>-4729690.402000032</v>
      </c>
      <c r="J89" s="255">
        <f>НФА!J342+ФАиО!J87</f>
        <v>-429208.43299998716</v>
      </c>
      <c r="K89" s="256">
        <f t="shared" si="4"/>
        <v>4300481.969000045</v>
      </c>
      <c r="L89" s="352">
        <f t="shared" si="75"/>
        <v>9.074768040176348</v>
      </c>
      <c r="M89" s="255">
        <f>НФА!M342+ФАиО!M87</f>
        <v>1037581.0000000028</v>
      </c>
      <c r="N89" s="255">
        <f>НФА!N342+ФАиО!N87</f>
        <v>-1149724.0950000049</v>
      </c>
      <c r="O89" s="255">
        <f>НФА!O342+ФАиО!O87</f>
        <v>776913.2739999954</v>
      </c>
      <c r="P89" s="256">
        <f>O89-N89</f>
        <v>1926637.3690000004</v>
      </c>
      <c r="Q89" s="369">
        <f t="shared" si="67"/>
        <v>-67.57388815096479</v>
      </c>
    </row>
    <row r="91" ht="12.75" hidden="1"/>
    <row r="93" spans="1:8" ht="12.75">
      <c r="A93" s="15"/>
      <c r="B93" s="15" t="s">
        <v>22</v>
      </c>
      <c r="D93" s="271"/>
      <c r="E93" s="271"/>
      <c r="F93" s="271"/>
      <c r="G93" s="10"/>
      <c r="H93" s="260"/>
    </row>
    <row r="94" spans="1:13" ht="12.75">
      <c r="A94" s="15"/>
      <c r="B94" s="15" t="s">
        <v>20</v>
      </c>
      <c r="D94" s="272"/>
      <c r="E94" s="272"/>
      <c r="F94" s="273"/>
      <c r="G94" s="18"/>
      <c r="H94" s="246"/>
      <c r="K94" s="245" t="s">
        <v>551</v>
      </c>
      <c r="M94" s="245"/>
    </row>
    <row r="95" spans="1:8" ht="12.75">
      <c r="A95" s="19"/>
      <c r="D95" s="272"/>
      <c r="E95" s="272"/>
      <c r="F95" s="273"/>
      <c r="G95" s="18"/>
      <c r="H95" s="246"/>
    </row>
    <row r="96" spans="1:8" ht="12.75">
      <c r="A96" s="19"/>
      <c r="D96" s="272"/>
      <c r="E96" s="272"/>
      <c r="F96" s="273"/>
      <c r="G96" s="18"/>
      <c r="H96" s="246"/>
    </row>
    <row r="97" spans="1:8" ht="12.75">
      <c r="A97" s="22"/>
      <c r="B97" s="185" t="s">
        <v>310</v>
      </c>
      <c r="D97" s="274"/>
      <c r="E97" s="274"/>
      <c r="F97" s="275"/>
      <c r="G97" s="18"/>
      <c r="H97" s="246"/>
    </row>
    <row r="98" spans="1:13" ht="12.75">
      <c r="A98" s="19"/>
      <c r="B98" s="15" t="s">
        <v>311</v>
      </c>
      <c r="D98" s="274"/>
      <c r="E98" s="274"/>
      <c r="F98" s="273"/>
      <c r="G98" s="18"/>
      <c r="H98" s="246"/>
      <c r="K98" s="245" t="s">
        <v>552</v>
      </c>
      <c r="M98" s="245"/>
    </row>
    <row r="99" spans="1:8" ht="12.75">
      <c r="A99" s="19"/>
      <c r="D99" s="274"/>
      <c r="E99" s="274"/>
      <c r="F99" s="273"/>
      <c r="G99" s="12"/>
      <c r="H99" s="261"/>
    </row>
    <row r="100" spans="1:8" ht="12.75">
      <c r="A100" s="23"/>
      <c r="D100" s="276"/>
      <c r="E100" s="276"/>
      <c r="F100" s="276"/>
      <c r="G100" s="27"/>
      <c r="H100" s="262"/>
    </row>
    <row r="101" spans="1:8" ht="12.75">
      <c r="A101" s="26"/>
      <c r="B101" s="186" t="s">
        <v>553</v>
      </c>
      <c r="D101" s="274"/>
      <c r="E101" s="274"/>
      <c r="F101" s="273"/>
      <c r="G101" s="18"/>
      <c r="H101" s="246"/>
    </row>
    <row r="102" spans="1:13" ht="12.75">
      <c r="A102" s="26"/>
      <c r="B102" s="186" t="s">
        <v>21</v>
      </c>
      <c r="D102" s="274"/>
      <c r="E102" s="274"/>
      <c r="F102" s="273"/>
      <c r="K102" s="245" t="s">
        <v>554</v>
      </c>
      <c r="M102" s="245"/>
    </row>
  </sheetData>
  <sheetProtection/>
  <mergeCells count="5">
    <mergeCell ref="A2:A3"/>
    <mergeCell ref="C2:G2"/>
    <mergeCell ref="H2:L2"/>
    <mergeCell ref="M2:Q2"/>
    <mergeCell ref="B2:B3"/>
  </mergeCells>
  <printOptions/>
  <pageMargins left="0.1968503937007874" right="0.1968503937007874" top="1.1811023622047245" bottom="0.5905511811023623" header="0.1968503937007874" footer="0.1968503937007874"/>
  <pageSetup firstPageNumber="94" useFirstPageNumber="1" horizontalDpi="600" verticalDpi="600" orientation="landscape" paperSize="9" scale="70" r:id="rId1"/>
  <headerFooter alignWithMargins="0">
    <oddFooter>&amp;R&amp;12&amp;P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33" sqref="I33"/>
    </sheetView>
  </sheetViews>
  <sheetFormatPr defaultColWidth="9.00390625" defaultRowHeight="12.75"/>
  <cols>
    <col min="1" max="1" width="9.75390625" style="94" customWidth="1"/>
    <col min="2" max="2" width="60.875" style="95" customWidth="1"/>
    <col min="3" max="3" width="11.625" style="328" customWidth="1"/>
    <col min="4" max="4" width="11.625" style="324" customWidth="1"/>
    <col min="5" max="5" width="11.625" style="325" customWidth="1"/>
    <col min="6" max="6" width="10.625" style="325" customWidth="1"/>
    <col min="7" max="9" width="11.625" style="325" customWidth="1"/>
    <col min="10" max="10" width="10.625" style="325" customWidth="1"/>
    <col min="11" max="11" width="11.625" style="325" customWidth="1"/>
    <col min="12" max="13" width="11.625" style="331" customWidth="1"/>
    <col min="14" max="14" width="11.00390625" style="331" customWidth="1"/>
    <col min="15" max="16384" width="9.125" style="5" customWidth="1"/>
  </cols>
  <sheetData>
    <row r="1" spans="1:14" ht="14.25" customHeight="1" thickBot="1">
      <c r="A1" s="111"/>
      <c r="B1" s="119" t="s">
        <v>195</v>
      </c>
      <c r="C1" s="277"/>
      <c r="D1" s="278"/>
      <c r="E1" s="278"/>
      <c r="F1" s="278"/>
      <c r="G1" s="278"/>
      <c r="H1" s="278"/>
      <c r="I1" s="278"/>
      <c r="J1" s="278"/>
      <c r="K1" s="278"/>
      <c r="L1" s="192"/>
      <c r="M1" s="192"/>
      <c r="N1" s="192"/>
    </row>
    <row r="2" spans="1:14" ht="22.5" customHeight="1">
      <c r="A2" s="411" t="s">
        <v>226</v>
      </c>
      <c r="B2" s="396" t="s">
        <v>23</v>
      </c>
      <c r="C2" s="413" t="s">
        <v>35</v>
      </c>
      <c r="D2" s="414"/>
      <c r="E2" s="414"/>
      <c r="F2" s="414"/>
      <c r="G2" s="415" t="s">
        <v>34</v>
      </c>
      <c r="H2" s="415"/>
      <c r="I2" s="415"/>
      <c r="J2" s="415"/>
      <c r="K2" s="416" t="s">
        <v>36</v>
      </c>
      <c r="L2" s="416"/>
      <c r="M2" s="416"/>
      <c r="N2" s="417"/>
    </row>
    <row r="3" spans="1:14" s="160" customFormat="1" ht="22.5" customHeight="1" thickBot="1">
      <c r="A3" s="412"/>
      <c r="B3" s="397"/>
      <c r="C3" s="197" t="s">
        <v>559</v>
      </c>
      <c r="D3" s="198" t="s">
        <v>560</v>
      </c>
      <c r="E3" s="199" t="s">
        <v>561</v>
      </c>
      <c r="F3" s="199" t="s">
        <v>562</v>
      </c>
      <c r="G3" s="197" t="s">
        <v>559</v>
      </c>
      <c r="H3" s="198" t="s">
        <v>560</v>
      </c>
      <c r="I3" s="199" t="s">
        <v>561</v>
      </c>
      <c r="J3" s="199" t="s">
        <v>562</v>
      </c>
      <c r="K3" s="197" t="s">
        <v>559</v>
      </c>
      <c r="L3" s="198" t="s">
        <v>560</v>
      </c>
      <c r="M3" s="199" t="s">
        <v>561</v>
      </c>
      <c r="N3" s="279" t="s">
        <v>562</v>
      </c>
    </row>
    <row r="4" spans="1:15" ht="22.5" customHeight="1">
      <c r="A4" s="112"/>
      <c r="B4" s="90" t="s">
        <v>196</v>
      </c>
      <c r="C4" s="280">
        <f>C5+C24</f>
        <v>23125954.3</v>
      </c>
      <c r="D4" s="281">
        <f>D5+D24</f>
        <v>22394307.580000002</v>
      </c>
      <c r="E4" s="281">
        <f>E5+E24</f>
        <v>22806790.651999995</v>
      </c>
      <c r="F4" s="281">
        <f aca="true" t="shared" si="0" ref="F4:F27">E4-D4</f>
        <v>412483.0719999932</v>
      </c>
      <c r="G4" s="281">
        <f>G5+G24</f>
        <v>23321938.3</v>
      </c>
      <c r="H4" s="281">
        <f>H5+H24</f>
        <v>21444122.08</v>
      </c>
      <c r="I4" s="281">
        <f>I5+I24</f>
        <v>21678294.251999997</v>
      </c>
      <c r="J4" s="281">
        <f aca="true" t="shared" si="1" ref="J4:J27">I4-H4</f>
        <v>234172.1719999984</v>
      </c>
      <c r="K4" s="281">
        <f>K5+K24</f>
        <v>-195984</v>
      </c>
      <c r="L4" s="281">
        <f>L5+L24</f>
        <v>950185.5000000001</v>
      </c>
      <c r="M4" s="281">
        <f>M5+M24</f>
        <v>1128496.4000000001</v>
      </c>
      <c r="N4" s="280">
        <f>M4-L4</f>
        <v>178310.90000000002</v>
      </c>
      <c r="O4" s="187"/>
    </row>
    <row r="5" spans="1:15" s="41" customFormat="1" ht="22.5" customHeight="1">
      <c r="A5" s="120" t="s">
        <v>197</v>
      </c>
      <c r="B5" s="129" t="s">
        <v>198</v>
      </c>
      <c r="C5" s="256">
        <f>C6+C9+C12+C15+C18+C21</f>
        <v>-3891372.3000000003</v>
      </c>
      <c r="D5" s="256">
        <f>D6+D9+D12+D15+D18+D21</f>
        <v>2941433.639999999</v>
      </c>
      <c r="E5" s="256">
        <f>E6+E9+E12+E15+E18+E21</f>
        <v>5204590.363</v>
      </c>
      <c r="F5" s="282">
        <f t="shared" si="0"/>
        <v>2263156.7230000007</v>
      </c>
      <c r="G5" s="256">
        <f>G6+G9+G12+G15+G18+G21</f>
        <v>-3695388.3000000003</v>
      </c>
      <c r="H5" s="256">
        <f>H6+H9+H12+H15+H18+H21</f>
        <v>1991248.1399999987</v>
      </c>
      <c r="I5" s="256">
        <f>I6+I9+I12+I15+I18+I21</f>
        <v>4076093.9630000005</v>
      </c>
      <c r="J5" s="282">
        <f t="shared" si="1"/>
        <v>2084845.8230000017</v>
      </c>
      <c r="K5" s="256">
        <f>K6+K9+K12+K15+K18+K21</f>
        <v>-195984</v>
      </c>
      <c r="L5" s="256">
        <f>L6+L9+L12+L15+L18+L21</f>
        <v>950185.5000000001</v>
      </c>
      <c r="M5" s="256">
        <f>M6+M9+M12+M15+M18+M21</f>
        <v>1128496.4000000001</v>
      </c>
      <c r="N5" s="256">
        <f>M5-L5</f>
        <v>178310.90000000002</v>
      </c>
      <c r="O5" s="188"/>
    </row>
    <row r="6" spans="1:15" s="166" customFormat="1" ht="22.5" customHeight="1">
      <c r="A6" s="116"/>
      <c r="B6" s="130" t="s">
        <v>546</v>
      </c>
      <c r="C6" s="283">
        <f>C7-C8</f>
        <v>4253224.1</v>
      </c>
      <c r="D6" s="284">
        <f>D7-D8</f>
        <v>7388338.44</v>
      </c>
      <c r="E6" s="283">
        <f>E7-E8</f>
        <v>7388930.069</v>
      </c>
      <c r="F6" s="284">
        <f t="shared" si="0"/>
        <v>591.6289999997243</v>
      </c>
      <c r="G6" s="283">
        <f>G7-G8</f>
        <v>4253224.1</v>
      </c>
      <c r="H6" s="283">
        <f>H7-H8</f>
        <v>7388338.44</v>
      </c>
      <c r="I6" s="284">
        <f>I7-I8</f>
        <v>7388930.069</v>
      </c>
      <c r="J6" s="283">
        <f t="shared" si="1"/>
        <v>591.6289999997243</v>
      </c>
      <c r="K6" s="372">
        <f>K7-K8</f>
        <v>0</v>
      </c>
      <c r="L6" s="373">
        <f>L7-L8</f>
        <v>0</v>
      </c>
      <c r="M6" s="374">
        <f>M7-M8</f>
        <v>0</v>
      </c>
      <c r="N6" s="372">
        <f>M6-L6</f>
        <v>0</v>
      </c>
      <c r="O6" s="189"/>
    </row>
    <row r="7" spans="1:15" s="41" customFormat="1" ht="22.5" customHeight="1">
      <c r="A7" s="117"/>
      <c r="B7" s="125" t="s">
        <v>200</v>
      </c>
      <c r="C7" s="286">
        <f aca="true" t="shared" si="2" ref="C7:E8">G7+K7</f>
        <v>11000000</v>
      </c>
      <c r="D7" s="287">
        <f t="shared" si="2"/>
        <v>15654720</v>
      </c>
      <c r="E7" s="286">
        <f t="shared" si="2"/>
        <v>15654711.63</v>
      </c>
      <c r="F7" s="287">
        <f t="shared" si="0"/>
        <v>-8.369999999180436</v>
      </c>
      <c r="G7" s="288">
        <f>ФАиО!H58</f>
        <v>11000000</v>
      </c>
      <c r="H7" s="288">
        <f>ФАиО!I58</f>
        <v>15654720</v>
      </c>
      <c r="I7" s="288">
        <f>ФАиО!J58</f>
        <v>15654711.63</v>
      </c>
      <c r="J7" s="286">
        <f t="shared" si="1"/>
        <v>-8.369999999180436</v>
      </c>
      <c r="K7" s="375"/>
      <c r="L7" s="376"/>
      <c r="M7" s="375"/>
      <c r="N7" s="377">
        <f>M7-L7</f>
        <v>0</v>
      </c>
      <c r="O7" s="188"/>
    </row>
    <row r="8" spans="1:15" s="41" customFormat="1" ht="22.5" customHeight="1">
      <c r="A8" s="117"/>
      <c r="B8" s="125" t="s">
        <v>201</v>
      </c>
      <c r="C8" s="286">
        <f t="shared" si="2"/>
        <v>6746775.9</v>
      </c>
      <c r="D8" s="287">
        <f t="shared" si="2"/>
        <v>8266381.56</v>
      </c>
      <c r="E8" s="286">
        <f t="shared" si="2"/>
        <v>8265781.561000001</v>
      </c>
      <c r="F8" s="287">
        <f t="shared" si="0"/>
        <v>-599.9989999989048</v>
      </c>
      <c r="G8" s="288">
        <f>ФАиО!H59</f>
        <v>6746775.9</v>
      </c>
      <c r="H8" s="288">
        <f>ФАиО!I59</f>
        <v>8266381.56</v>
      </c>
      <c r="I8" s="288">
        <f>ФАиО!J59</f>
        <v>8265781.561000001</v>
      </c>
      <c r="J8" s="286">
        <f t="shared" si="1"/>
        <v>-599.9989999989048</v>
      </c>
      <c r="K8" s="375"/>
      <c r="L8" s="376"/>
      <c r="M8" s="375"/>
      <c r="N8" s="377">
        <f>M8-L8</f>
        <v>0</v>
      </c>
      <c r="O8" s="188"/>
    </row>
    <row r="9" spans="1:15" s="41" customFormat="1" ht="22.5" customHeight="1">
      <c r="A9" s="116"/>
      <c r="B9" s="130" t="s">
        <v>199</v>
      </c>
      <c r="C9" s="290">
        <f>C11-C10</f>
        <v>150000</v>
      </c>
      <c r="D9" s="291">
        <f>D11-D10</f>
        <v>480000</v>
      </c>
      <c r="E9" s="290">
        <f>E11-E10</f>
        <v>86573.75</v>
      </c>
      <c r="F9" s="285">
        <f t="shared" si="0"/>
        <v>-393426.25</v>
      </c>
      <c r="G9" s="290">
        <f>G11-G10</f>
        <v>150000</v>
      </c>
      <c r="H9" s="290">
        <f>H11-H10</f>
        <v>480000</v>
      </c>
      <c r="I9" s="290">
        <f>I11-I10</f>
        <v>86573.75</v>
      </c>
      <c r="J9" s="285">
        <f t="shared" si="1"/>
        <v>-393426.25</v>
      </c>
      <c r="K9" s="290"/>
      <c r="L9" s="291"/>
      <c r="M9" s="290"/>
      <c r="N9" s="283"/>
      <c r="O9" s="188"/>
    </row>
    <row r="10" spans="1:15" s="41" customFormat="1" ht="22.5" customHeight="1">
      <c r="A10" s="117"/>
      <c r="B10" s="125" t="s">
        <v>232</v>
      </c>
      <c r="C10" s="377">
        <f aca="true" t="shared" si="3" ref="C10:E11">G10+K10</f>
        <v>0</v>
      </c>
      <c r="D10" s="292">
        <f t="shared" si="3"/>
        <v>70000</v>
      </c>
      <c r="E10" s="292">
        <f t="shared" si="3"/>
        <v>70000</v>
      </c>
      <c r="F10" s="379">
        <f t="shared" si="0"/>
        <v>0</v>
      </c>
      <c r="G10" s="378">
        <f>ФАиО!H21</f>
        <v>0</v>
      </c>
      <c r="H10" s="288">
        <f>ФАиО!I21</f>
        <v>70000</v>
      </c>
      <c r="I10" s="288">
        <f>ФАиО!J21</f>
        <v>70000</v>
      </c>
      <c r="J10" s="379">
        <f t="shared" si="1"/>
        <v>0</v>
      </c>
      <c r="K10" s="289"/>
      <c r="L10" s="293"/>
      <c r="M10" s="289"/>
      <c r="N10" s="286"/>
      <c r="O10" s="188"/>
    </row>
    <row r="11" spans="1:15" s="41" customFormat="1" ht="22.5" customHeight="1">
      <c r="A11" s="117"/>
      <c r="B11" s="126" t="s">
        <v>231</v>
      </c>
      <c r="C11" s="294">
        <f t="shared" si="3"/>
        <v>150000</v>
      </c>
      <c r="D11" s="295">
        <f t="shared" si="3"/>
        <v>550000</v>
      </c>
      <c r="E11" s="295">
        <f t="shared" si="3"/>
        <v>156573.75</v>
      </c>
      <c r="F11" s="292">
        <f t="shared" si="0"/>
        <v>-393426.25</v>
      </c>
      <c r="G11" s="296">
        <f>ФАиО!H20</f>
        <v>150000</v>
      </c>
      <c r="H11" s="296">
        <f>ФАиО!I20</f>
        <v>550000</v>
      </c>
      <c r="I11" s="296">
        <f>ФАиО!J20</f>
        <v>156573.75</v>
      </c>
      <c r="J11" s="292">
        <f t="shared" si="1"/>
        <v>-393426.25</v>
      </c>
      <c r="K11" s="297"/>
      <c r="L11" s="298"/>
      <c r="M11" s="297"/>
      <c r="N11" s="286"/>
      <c r="O11" s="188"/>
    </row>
    <row r="12" spans="1:15" s="41" customFormat="1" ht="22.5" customHeight="1">
      <c r="A12" s="116"/>
      <c r="B12" s="149" t="s">
        <v>185</v>
      </c>
      <c r="C12" s="291">
        <f>C14-C13</f>
        <v>-10997860.5</v>
      </c>
      <c r="D12" s="291">
        <f>D14-D13</f>
        <v>-10608127.600000001</v>
      </c>
      <c r="E12" s="299">
        <f>E14-E13</f>
        <v>-8113737.1559999995</v>
      </c>
      <c r="F12" s="283">
        <f t="shared" si="0"/>
        <v>2494390.444000002</v>
      </c>
      <c r="G12" s="290">
        <f>G14-G13</f>
        <v>-10997836.5</v>
      </c>
      <c r="H12" s="291">
        <f>H14-H13</f>
        <v>-10606780.600000001</v>
      </c>
      <c r="I12" s="299">
        <f>I14-I13</f>
        <v>-8129100.1559999995</v>
      </c>
      <c r="J12" s="283">
        <f t="shared" si="1"/>
        <v>2477680.444000002</v>
      </c>
      <c r="K12" s="290">
        <f>K14-K13</f>
        <v>-24</v>
      </c>
      <c r="L12" s="291">
        <f>L14-L13</f>
        <v>-1347</v>
      </c>
      <c r="M12" s="299">
        <f>M14-M13</f>
        <v>15363</v>
      </c>
      <c r="N12" s="283">
        <f aca="true" t="shared" si="4" ref="N12:N23">M12-L12</f>
        <v>16710</v>
      </c>
      <c r="O12" s="188"/>
    </row>
    <row r="13" spans="1:15" s="41" customFormat="1" ht="22.5" customHeight="1">
      <c r="A13" s="117"/>
      <c r="B13" s="145" t="s">
        <v>200</v>
      </c>
      <c r="C13" s="286">
        <f aca="true" t="shared" si="5" ref="C13:E14">G13+K13</f>
        <v>13672623.4</v>
      </c>
      <c r="D13" s="292">
        <f t="shared" si="5"/>
        <v>12914640.600000001</v>
      </c>
      <c r="E13" s="286">
        <f t="shared" si="5"/>
        <v>10913654.2</v>
      </c>
      <c r="F13" s="286">
        <f t="shared" si="0"/>
        <v>-2000986.4000000022</v>
      </c>
      <c r="G13" s="288">
        <f>ФАиО!H11+ФАиО!H18+ФАиО!H28+ФАиО!H35+ФАиО!H42+ФАиО!H47</f>
        <v>13672599.4</v>
      </c>
      <c r="H13" s="288">
        <f>ФАиО!I11+ФАиО!I18+ФАиО!I28+ФАиО!I35+ФАиО!I42+ФАиО!I47</f>
        <v>12913293.600000001</v>
      </c>
      <c r="I13" s="288">
        <f>ФАиО!J11+ФАиО!J18+ФАиО!J28+ФАиО!J35+ФАиО!J42+ФАиО!J47</f>
        <v>10912307.2</v>
      </c>
      <c r="J13" s="286">
        <f t="shared" si="1"/>
        <v>-2000986.4000000022</v>
      </c>
      <c r="K13" s="288">
        <f>ФАиО!M11+ФАиО!M18+ФАиО!M28+ФАиО!M35+ФАиО!M42</f>
        <v>24</v>
      </c>
      <c r="L13" s="288">
        <f>ФАиО!N11+ФАиО!N18+ФАиО!N28+ФАиО!N35+ФАиО!N42</f>
        <v>1347</v>
      </c>
      <c r="M13" s="288">
        <f>ФАиО!O11+ФАиО!O18+ФАиО!O28+ФАиО!O35+ФАиО!O42</f>
        <v>1347</v>
      </c>
      <c r="N13" s="377">
        <f t="shared" si="4"/>
        <v>0</v>
      </c>
      <c r="O13" s="188"/>
    </row>
    <row r="14" spans="1:15" s="42" customFormat="1" ht="22.5" customHeight="1">
      <c r="A14" s="117"/>
      <c r="B14" s="145" t="s">
        <v>201</v>
      </c>
      <c r="C14" s="286">
        <f t="shared" si="5"/>
        <v>2674762.9</v>
      </c>
      <c r="D14" s="292">
        <f t="shared" si="5"/>
        <v>2306513</v>
      </c>
      <c r="E14" s="286">
        <f t="shared" si="5"/>
        <v>2799917.0439999998</v>
      </c>
      <c r="F14" s="286">
        <f t="shared" si="0"/>
        <v>493404.04399999976</v>
      </c>
      <c r="G14" s="288">
        <f>ФАиО!H10+ФАиО!H17+ФАиО!H27+ФАиО!H34+ФАиО!H41+ФАиО!H46</f>
        <v>2674762.9</v>
      </c>
      <c r="H14" s="288">
        <f>ФАиО!I10+ФАиО!I17+ФАиО!I27+ФАиО!I34+ФАиО!I41+ФАиО!I46</f>
        <v>2306513</v>
      </c>
      <c r="I14" s="288">
        <f>ФАиО!J10+ФАиО!J17+ФАиО!J27+ФАиО!J34+ФАиО!J41+ФАиО!J46</f>
        <v>2783207.0439999998</v>
      </c>
      <c r="J14" s="286">
        <f t="shared" si="1"/>
        <v>476694.04399999976</v>
      </c>
      <c r="K14" s="378">
        <f>ФАиО!M10+ФАиО!M17+ФАиО!M27+ФАиО!M34+ФАиО!M41</f>
        <v>0</v>
      </c>
      <c r="L14" s="378">
        <f>ФАиО!N10+ФАиО!N17+ФАиО!N27+ФАиО!N34+ФАиО!N41</f>
        <v>0</v>
      </c>
      <c r="M14" s="288">
        <f>ФАиО!O10+ФАиО!O17+ФАиО!O27+ФАиО!O34+ФАиО!O41</f>
        <v>16710</v>
      </c>
      <c r="N14" s="286">
        <f t="shared" si="4"/>
        <v>16710</v>
      </c>
      <c r="O14" s="190"/>
    </row>
    <row r="15" spans="1:15" s="41" customFormat="1" ht="22.5" customHeight="1" hidden="1">
      <c r="A15" s="336"/>
      <c r="B15" s="130" t="s">
        <v>550</v>
      </c>
      <c r="C15" s="290">
        <f>C17-C16</f>
        <v>0</v>
      </c>
      <c r="D15" s="291">
        <f>D17-D16</f>
        <v>0</v>
      </c>
      <c r="E15" s="290">
        <f>E17-E16</f>
        <v>0</v>
      </c>
      <c r="F15" s="283">
        <f>E15-D15</f>
        <v>0</v>
      </c>
      <c r="G15" s="290">
        <f>G17-G16</f>
        <v>0</v>
      </c>
      <c r="H15" s="290">
        <f>H17-H16</f>
        <v>0</v>
      </c>
      <c r="I15" s="304">
        <f>I17-I16</f>
        <v>0</v>
      </c>
      <c r="J15" s="283">
        <f>I15-H15</f>
        <v>0</v>
      </c>
      <c r="K15" s="290">
        <f>K17-K16</f>
        <v>0</v>
      </c>
      <c r="L15" s="291">
        <f>L17-L16</f>
        <v>0</v>
      </c>
      <c r="M15" s="304">
        <f>M17-M16</f>
        <v>0</v>
      </c>
      <c r="N15" s="283">
        <f t="shared" si="4"/>
        <v>0</v>
      </c>
      <c r="O15" s="188"/>
    </row>
    <row r="16" spans="1:15" s="41" customFormat="1" ht="22.5" customHeight="1" hidden="1">
      <c r="A16" s="336"/>
      <c r="B16" s="125" t="s">
        <v>555</v>
      </c>
      <c r="C16" s="286">
        <f aca="true" t="shared" si="6" ref="C16:E17">G16+K16</f>
        <v>0</v>
      </c>
      <c r="D16" s="292">
        <f t="shared" si="6"/>
        <v>0</v>
      </c>
      <c r="E16" s="286">
        <f t="shared" si="6"/>
        <v>0</v>
      </c>
      <c r="F16" s="286">
        <f>E16-D16</f>
        <v>0</v>
      </c>
      <c r="G16" s="288">
        <f>ФАиО!H50</f>
        <v>0</v>
      </c>
      <c r="H16" s="288">
        <f>ФАиО!I50</f>
        <v>0</v>
      </c>
      <c r="I16" s="288">
        <f>ФАиО!J50</f>
        <v>0</v>
      </c>
      <c r="J16" s="286">
        <f>I16-H16</f>
        <v>0</v>
      </c>
      <c r="K16" s="288"/>
      <c r="L16" s="303"/>
      <c r="M16" s="288"/>
      <c r="N16" s="286">
        <f t="shared" si="4"/>
        <v>0</v>
      </c>
      <c r="O16" s="188"/>
    </row>
    <row r="17" spans="1:15" s="41" customFormat="1" ht="22.5" customHeight="1" hidden="1">
      <c r="A17" s="336"/>
      <c r="B17" s="126" t="s">
        <v>201</v>
      </c>
      <c r="C17" s="294">
        <f t="shared" si="6"/>
        <v>0</v>
      </c>
      <c r="D17" s="295">
        <f t="shared" si="6"/>
        <v>0</v>
      </c>
      <c r="E17" s="294">
        <f t="shared" si="6"/>
        <v>0</v>
      </c>
      <c r="F17" s="294">
        <f>E17-D17</f>
        <v>0</v>
      </c>
      <c r="G17" s="296">
        <f>ФАиО!H49</f>
        <v>0</v>
      </c>
      <c r="H17" s="296">
        <f>ФАиО!I49</f>
        <v>0</v>
      </c>
      <c r="I17" s="296">
        <f>ФАиО!J49</f>
        <v>0</v>
      </c>
      <c r="J17" s="294">
        <f>I17-H17</f>
        <v>0</v>
      </c>
      <c r="K17" s="296"/>
      <c r="L17" s="305"/>
      <c r="M17" s="296"/>
      <c r="N17" s="286">
        <f t="shared" si="4"/>
        <v>0</v>
      </c>
      <c r="O17" s="188"/>
    </row>
    <row r="18" spans="1:15" s="7" customFormat="1" ht="22.5" customHeight="1">
      <c r="A18" s="116"/>
      <c r="B18" s="371" t="s">
        <v>227</v>
      </c>
      <c r="C18" s="332">
        <f>C19-C20</f>
        <v>-195960</v>
      </c>
      <c r="D18" s="332">
        <f>D19-D20</f>
        <v>-198191.6</v>
      </c>
      <c r="E18" s="332">
        <f>E19-E20</f>
        <v>-140101.9</v>
      </c>
      <c r="F18" s="283">
        <f t="shared" si="0"/>
        <v>58089.70000000001</v>
      </c>
      <c r="G18" s="285"/>
      <c r="H18" s="285"/>
      <c r="I18" s="284"/>
      <c r="J18" s="283"/>
      <c r="K18" s="332">
        <f>K19-K20</f>
        <v>-195960</v>
      </c>
      <c r="L18" s="332">
        <f>L19-L20</f>
        <v>-198191.6</v>
      </c>
      <c r="M18" s="332">
        <f>M19-M20</f>
        <v>-140101.9</v>
      </c>
      <c r="N18" s="283">
        <f t="shared" si="4"/>
        <v>58089.70000000001</v>
      </c>
      <c r="O18" s="334"/>
    </row>
    <row r="19" spans="1:15" s="7" customFormat="1" ht="22.5" customHeight="1">
      <c r="A19" s="116"/>
      <c r="B19" s="125" t="s">
        <v>233</v>
      </c>
      <c r="C19" s="377">
        <f aca="true" t="shared" si="7" ref="C19:E20">G19+K19</f>
        <v>0</v>
      </c>
      <c r="D19" s="379">
        <f t="shared" si="7"/>
        <v>0</v>
      </c>
      <c r="E19" s="286">
        <f t="shared" si="7"/>
        <v>650</v>
      </c>
      <c r="F19" s="286">
        <f t="shared" si="0"/>
        <v>650</v>
      </c>
      <c r="G19" s="301"/>
      <c r="H19" s="301"/>
      <c r="I19" s="299"/>
      <c r="J19" s="300"/>
      <c r="K19" s="377">
        <f>ФАиО!M61+ФАиО!M77+ФАиО!M84</f>
        <v>0</v>
      </c>
      <c r="L19" s="379">
        <f>ФАиО!N61+ФАиО!N77+ФАиО!N84</f>
        <v>0</v>
      </c>
      <c r="M19" s="287">
        <f>ФАиО!O61+ФАиО!O77+ФАиО!O84</f>
        <v>650</v>
      </c>
      <c r="N19" s="288">
        <f t="shared" si="4"/>
        <v>650</v>
      </c>
      <c r="O19" s="334"/>
    </row>
    <row r="20" spans="1:15" s="17" customFormat="1" ht="22.5" customHeight="1">
      <c r="A20" s="117"/>
      <c r="B20" s="124" t="s">
        <v>234</v>
      </c>
      <c r="C20" s="286">
        <f t="shared" si="7"/>
        <v>195960</v>
      </c>
      <c r="D20" s="292">
        <f t="shared" si="7"/>
        <v>198191.6</v>
      </c>
      <c r="E20" s="287">
        <f t="shared" si="7"/>
        <v>140751.9</v>
      </c>
      <c r="F20" s="286">
        <f t="shared" si="0"/>
        <v>-57439.70000000001</v>
      </c>
      <c r="G20" s="303"/>
      <c r="H20" s="303"/>
      <c r="I20" s="306"/>
      <c r="J20" s="286"/>
      <c r="K20" s="297">
        <f>ФАиО!M62+ФАиО!M78+ФАиО!M85</f>
        <v>195960</v>
      </c>
      <c r="L20" s="298">
        <f>ФАиО!N62+ФАиО!N78+ФАиО!N85</f>
        <v>198191.6</v>
      </c>
      <c r="M20" s="333">
        <f>ФАиО!O62+ФАиО!O78+ФАиО!O85</f>
        <v>140751.9</v>
      </c>
      <c r="N20" s="296">
        <f t="shared" si="4"/>
        <v>-57439.70000000001</v>
      </c>
      <c r="O20" s="335"/>
    </row>
    <row r="21" spans="1:15" s="17" customFormat="1" ht="22.5" customHeight="1">
      <c r="A21" s="121"/>
      <c r="B21" s="122" t="s">
        <v>16</v>
      </c>
      <c r="C21" s="290">
        <f>C22+C23</f>
        <v>2899224.1</v>
      </c>
      <c r="D21" s="291">
        <f>D22+D23</f>
        <v>5879414.4</v>
      </c>
      <c r="E21" s="290">
        <f>E22+E23</f>
        <v>5982925.6</v>
      </c>
      <c r="F21" s="285">
        <f t="shared" si="0"/>
        <v>103511.19999999925</v>
      </c>
      <c r="G21" s="290">
        <f>G22+G23</f>
        <v>2899224.1</v>
      </c>
      <c r="H21" s="290">
        <f>H22+H23</f>
        <v>4729690.3</v>
      </c>
      <c r="I21" s="290">
        <f>I22+I23</f>
        <v>4729690.3</v>
      </c>
      <c r="J21" s="373">
        <f t="shared" si="1"/>
        <v>0</v>
      </c>
      <c r="K21" s="380">
        <f>K22+K23</f>
        <v>0</v>
      </c>
      <c r="L21" s="301">
        <f>L22+L23</f>
        <v>1149724.1</v>
      </c>
      <c r="M21" s="300">
        <f>M22+M23</f>
        <v>1253235.3</v>
      </c>
      <c r="N21" s="302">
        <f t="shared" si="4"/>
        <v>103511.19999999995</v>
      </c>
      <c r="O21" s="167"/>
    </row>
    <row r="22" spans="1:15" s="17" customFormat="1" ht="22.5" customHeight="1">
      <c r="A22" s="115"/>
      <c r="B22" s="123" t="s">
        <v>202</v>
      </c>
      <c r="C22" s="286">
        <f aca="true" t="shared" si="8" ref="C22:E23">G22+K22</f>
        <v>2899224.1</v>
      </c>
      <c r="D22" s="292">
        <f t="shared" si="8"/>
        <v>2762942.3</v>
      </c>
      <c r="E22" s="292">
        <f t="shared" si="8"/>
        <v>2839812.9</v>
      </c>
      <c r="F22" s="292">
        <f t="shared" si="0"/>
        <v>76870.6000000001</v>
      </c>
      <c r="G22" s="303">
        <v>2899224.1</v>
      </c>
      <c r="H22" s="303">
        <v>1706977.4</v>
      </c>
      <c r="I22" s="303">
        <v>1706977.4</v>
      </c>
      <c r="J22" s="379">
        <f t="shared" si="1"/>
        <v>0</v>
      </c>
      <c r="K22" s="288"/>
      <c r="L22" s="293">
        <f>1029324.3+26640.6</f>
        <v>1055964.9000000001</v>
      </c>
      <c r="M22" s="289">
        <v>1132835.5</v>
      </c>
      <c r="N22" s="286">
        <f t="shared" si="4"/>
        <v>76870.59999999986</v>
      </c>
      <c r="O22" s="167"/>
    </row>
    <row r="23" spans="1:15" s="35" customFormat="1" ht="22.5" customHeight="1">
      <c r="A23" s="118"/>
      <c r="B23" s="126" t="s">
        <v>203</v>
      </c>
      <c r="C23" s="381">
        <f t="shared" si="8"/>
        <v>0</v>
      </c>
      <c r="D23" s="295">
        <f t="shared" si="8"/>
        <v>3116472.1</v>
      </c>
      <c r="E23" s="295">
        <f t="shared" si="8"/>
        <v>3143112.6999999997</v>
      </c>
      <c r="F23" s="295">
        <f t="shared" si="0"/>
        <v>26640.599999999627</v>
      </c>
      <c r="G23" s="305"/>
      <c r="H23" s="305">
        <v>3022712.9</v>
      </c>
      <c r="I23" s="305">
        <f>2581811.1+440901.8</f>
        <v>3022712.9</v>
      </c>
      <c r="J23" s="382">
        <f t="shared" si="1"/>
        <v>0</v>
      </c>
      <c r="K23" s="297"/>
      <c r="L23" s="298">
        <f>120399.8-26640.6</f>
        <v>93759.20000000001</v>
      </c>
      <c r="M23" s="297">
        <v>120399.8</v>
      </c>
      <c r="N23" s="294">
        <f t="shared" si="4"/>
        <v>26640.59999999999</v>
      </c>
      <c r="O23" s="191"/>
    </row>
    <row r="24" spans="1:15" s="17" customFormat="1" ht="22.5" customHeight="1">
      <c r="A24" s="120" t="s">
        <v>204</v>
      </c>
      <c r="B24" s="90" t="s">
        <v>229</v>
      </c>
      <c r="C24" s="256">
        <f>C25</f>
        <v>27017326.6</v>
      </c>
      <c r="D24" s="282">
        <f>D25</f>
        <v>19452873.94</v>
      </c>
      <c r="E24" s="282">
        <f>E25</f>
        <v>17602200.288999997</v>
      </c>
      <c r="F24" s="285">
        <f t="shared" si="0"/>
        <v>-1850673.6510000043</v>
      </c>
      <c r="G24" s="282">
        <f>G25</f>
        <v>27017326.6</v>
      </c>
      <c r="H24" s="282">
        <f>H25</f>
        <v>19452873.94</v>
      </c>
      <c r="I24" s="282">
        <f>I25</f>
        <v>17602200.288999997</v>
      </c>
      <c r="J24" s="285">
        <f t="shared" si="1"/>
        <v>-1850673.6510000043</v>
      </c>
      <c r="K24" s="256"/>
      <c r="L24" s="282"/>
      <c r="M24" s="282"/>
      <c r="N24" s="283"/>
      <c r="O24" s="167"/>
    </row>
    <row r="25" spans="1:15" s="17" customFormat="1" ht="22.5" customHeight="1">
      <c r="A25" s="114"/>
      <c r="B25" s="132" t="s">
        <v>228</v>
      </c>
      <c r="C25" s="300">
        <f>C26-C27</f>
        <v>27017326.6</v>
      </c>
      <c r="D25" s="301">
        <f>D26-D27</f>
        <v>19452873.94</v>
      </c>
      <c r="E25" s="301">
        <f>E26-E27</f>
        <v>17602200.288999997</v>
      </c>
      <c r="F25" s="285">
        <f t="shared" si="0"/>
        <v>-1850673.6510000043</v>
      </c>
      <c r="G25" s="301">
        <f>G26-G27</f>
        <v>27017326.6</v>
      </c>
      <c r="H25" s="301">
        <f>H26-H27</f>
        <v>19452873.94</v>
      </c>
      <c r="I25" s="301">
        <f>I26-I27</f>
        <v>17602200.288999997</v>
      </c>
      <c r="J25" s="285">
        <f t="shared" si="1"/>
        <v>-1850673.6510000043</v>
      </c>
      <c r="K25" s="290"/>
      <c r="L25" s="291"/>
      <c r="M25" s="301"/>
      <c r="N25" s="283"/>
      <c r="O25" s="167"/>
    </row>
    <row r="26" spans="1:15" s="17" customFormat="1" ht="22.5" customHeight="1">
      <c r="A26" s="115"/>
      <c r="B26" s="123" t="s">
        <v>233</v>
      </c>
      <c r="C26" s="286">
        <f aca="true" t="shared" si="9" ref="C26:E27">G26+K26</f>
        <v>34099583.5</v>
      </c>
      <c r="D26" s="292">
        <f t="shared" si="9"/>
        <v>26059089.1</v>
      </c>
      <c r="E26" s="292">
        <f t="shared" si="9"/>
        <v>24089699.091</v>
      </c>
      <c r="F26" s="292">
        <f t="shared" si="0"/>
        <v>-1969390.0090000033</v>
      </c>
      <c r="G26" s="303">
        <f>ФАиО!H70</f>
        <v>34099583.5</v>
      </c>
      <c r="H26" s="303">
        <f>ФАиО!I70</f>
        <v>26059089.1</v>
      </c>
      <c r="I26" s="303">
        <f>ФАиО!J70</f>
        <v>24089699.091</v>
      </c>
      <c r="J26" s="292">
        <f t="shared" si="1"/>
        <v>-1969390.0090000033</v>
      </c>
      <c r="K26" s="289"/>
      <c r="L26" s="293"/>
      <c r="M26" s="289"/>
      <c r="N26" s="286"/>
      <c r="O26" s="167"/>
    </row>
    <row r="27" spans="1:15" s="17" customFormat="1" ht="22.5" customHeight="1">
      <c r="A27" s="118"/>
      <c r="B27" s="127" t="s">
        <v>201</v>
      </c>
      <c r="C27" s="286">
        <f t="shared" si="9"/>
        <v>7082256.9</v>
      </c>
      <c r="D27" s="292">
        <f t="shared" si="9"/>
        <v>6606215.16</v>
      </c>
      <c r="E27" s="292">
        <f t="shared" si="9"/>
        <v>6487498.801999999</v>
      </c>
      <c r="F27" s="292">
        <f t="shared" si="0"/>
        <v>-118716.35800000094</v>
      </c>
      <c r="G27" s="305">
        <f>ФАиО!H71</f>
        <v>7082256.9</v>
      </c>
      <c r="H27" s="305">
        <f>ФАиО!I71</f>
        <v>6606215.16</v>
      </c>
      <c r="I27" s="305">
        <f>ФАиО!J71</f>
        <v>6487498.801999999</v>
      </c>
      <c r="J27" s="292">
        <f t="shared" si="1"/>
        <v>-118716.35800000094</v>
      </c>
      <c r="K27" s="297"/>
      <c r="L27" s="298"/>
      <c r="M27" s="297"/>
      <c r="N27" s="286"/>
      <c r="O27" s="167"/>
    </row>
    <row r="28" spans="1:15" s="17" customFormat="1" ht="22.5" customHeight="1">
      <c r="A28" s="146"/>
      <c r="B28" s="128"/>
      <c r="C28" s="307"/>
      <c r="D28" s="308"/>
      <c r="E28" s="307"/>
      <c r="F28" s="307"/>
      <c r="G28" s="309"/>
      <c r="H28" s="309"/>
      <c r="I28" s="310"/>
      <c r="J28" s="307"/>
      <c r="K28" s="311"/>
      <c r="L28" s="312"/>
      <c r="M28" s="311"/>
      <c r="N28" s="307"/>
      <c r="O28" s="167"/>
    </row>
    <row r="29" spans="1:15" ht="22.5" customHeight="1">
      <c r="A29" s="113" t="s">
        <v>205</v>
      </c>
      <c r="B29" s="131" t="s">
        <v>206</v>
      </c>
      <c r="C29" s="380">
        <f>C30+C31</f>
        <v>0</v>
      </c>
      <c r="D29" s="380">
        <f>D30+D31</f>
        <v>0</v>
      </c>
      <c r="E29" s="300">
        <f>E30+E31</f>
        <v>6330630.5</v>
      </c>
      <c r="F29" s="302">
        <f>E29-D29</f>
        <v>6330630.5</v>
      </c>
      <c r="G29" s="380">
        <f>G30+G31</f>
        <v>0</v>
      </c>
      <c r="H29" s="380">
        <f>H30+H31</f>
        <v>0</v>
      </c>
      <c r="I29" s="300">
        <f>I30+I31</f>
        <v>4300481.8</v>
      </c>
      <c r="J29" s="302">
        <f>I29-H29</f>
        <v>4300481.8</v>
      </c>
      <c r="K29" s="380">
        <f>K30+K31</f>
        <v>0</v>
      </c>
      <c r="L29" s="380">
        <f>L30+L31</f>
        <v>0</v>
      </c>
      <c r="M29" s="300">
        <f>M30+M31</f>
        <v>2030148.7</v>
      </c>
      <c r="N29" s="302">
        <f>M29-L29</f>
        <v>2030148.7</v>
      </c>
      <c r="O29" s="187"/>
    </row>
    <row r="30" spans="1:15" s="17" customFormat="1" ht="22.5" customHeight="1">
      <c r="A30" s="147"/>
      <c r="B30" s="125" t="s">
        <v>207</v>
      </c>
      <c r="C30" s="379">
        <f aca="true" t="shared" si="10" ref="C30:E31">G30+K30</f>
        <v>0</v>
      </c>
      <c r="D30" s="379">
        <f t="shared" si="10"/>
        <v>0</v>
      </c>
      <c r="E30" s="292">
        <f t="shared" si="10"/>
        <v>3743101.2</v>
      </c>
      <c r="F30" s="286">
        <f>E30-D30</f>
        <v>3743101.2</v>
      </c>
      <c r="G30" s="313"/>
      <c r="H30" s="313"/>
      <c r="I30" s="306">
        <v>1909893.3</v>
      </c>
      <c r="J30" s="286">
        <f>I30-H30</f>
        <v>1909893.3</v>
      </c>
      <c r="K30" s="289"/>
      <c r="L30" s="293"/>
      <c r="M30" s="289">
        <v>1833207.9</v>
      </c>
      <c r="N30" s="286">
        <f>M30-L30</f>
        <v>1833207.9</v>
      </c>
      <c r="O30" s="167"/>
    </row>
    <row r="31" spans="1:15" s="17" customFormat="1" ht="22.5" customHeight="1">
      <c r="A31" s="148"/>
      <c r="B31" s="126" t="s">
        <v>208</v>
      </c>
      <c r="C31" s="382">
        <f t="shared" si="10"/>
        <v>0</v>
      </c>
      <c r="D31" s="382">
        <f t="shared" si="10"/>
        <v>0</v>
      </c>
      <c r="E31" s="295">
        <f t="shared" si="10"/>
        <v>2587529.3</v>
      </c>
      <c r="F31" s="294">
        <f>E31-D31</f>
        <v>2587529.3</v>
      </c>
      <c r="G31" s="314"/>
      <c r="H31" s="314"/>
      <c r="I31" s="315">
        <f>2090925.2+299663.3</f>
        <v>2390588.5</v>
      </c>
      <c r="J31" s="294">
        <f>I31-H31</f>
        <v>2390588.5</v>
      </c>
      <c r="K31" s="297"/>
      <c r="L31" s="298"/>
      <c r="M31" s="297">
        <v>196940.8</v>
      </c>
      <c r="N31" s="294">
        <f>M31-L31</f>
        <v>196940.8</v>
      </c>
      <c r="O31" s="167"/>
    </row>
    <row r="32" spans="1:14" s="17" customFormat="1" ht="15">
      <c r="A32" s="91"/>
      <c r="B32" s="92"/>
      <c r="C32" s="316"/>
      <c r="D32" s="317"/>
      <c r="E32" s="318"/>
      <c r="F32" s="319"/>
      <c r="G32" s="319"/>
      <c r="H32" s="319"/>
      <c r="I32" s="319"/>
      <c r="J32" s="319"/>
      <c r="K32" s="319"/>
      <c r="L32" s="320"/>
      <c r="M32" s="320"/>
      <c r="N32" s="320"/>
    </row>
    <row r="33" spans="1:14" s="17" customFormat="1" ht="15">
      <c r="A33" s="91"/>
      <c r="B33" s="92"/>
      <c r="C33" s="316"/>
      <c r="D33" s="317"/>
      <c r="E33" s="318"/>
      <c r="F33" s="319"/>
      <c r="G33" s="319"/>
      <c r="H33" s="319"/>
      <c r="I33" s="319"/>
      <c r="J33" s="319"/>
      <c r="K33" s="319"/>
      <c r="L33" s="320"/>
      <c r="M33" s="320"/>
      <c r="N33" s="320"/>
    </row>
    <row r="34" spans="1:14" s="17" customFormat="1" ht="15">
      <c r="A34" s="91"/>
      <c r="B34" s="93"/>
      <c r="C34" s="321"/>
      <c r="D34" s="322"/>
      <c r="E34" s="318"/>
      <c r="F34" s="319"/>
      <c r="G34" s="319"/>
      <c r="H34" s="318"/>
      <c r="I34" s="323"/>
      <c r="J34" s="323"/>
      <c r="K34" s="323"/>
      <c r="L34" s="320"/>
      <c r="M34" s="320"/>
      <c r="N34" s="320"/>
    </row>
    <row r="35" spans="1:14" s="17" customFormat="1" ht="15">
      <c r="A35" s="94"/>
      <c r="B35" s="93"/>
      <c r="C35" s="321"/>
      <c r="D35" s="324"/>
      <c r="E35" s="325"/>
      <c r="F35" s="325"/>
      <c r="G35" s="325"/>
      <c r="H35" s="326"/>
      <c r="I35" s="327"/>
      <c r="J35" s="327"/>
      <c r="K35" s="327"/>
      <c r="L35" s="320"/>
      <c r="M35" s="320"/>
      <c r="N35" s="320"/>
    </row>
    <row r="36" spans="1:14" s="17" customFormat="1" ht="15">
      <c r="A36" s="94"/>
      <c r="B36" s="95"/>
      <c r="C36" s="328"/>
      <c r="D36" s="324"/>
      <c r="E36" s="325"/>
      <c r="F36" s="325"/>
      <c r="G36" s="325"/>
      <c r="H36" s="326"/>
      <c r="I36" s="329"/>
      <c r="J36" s="329"/>
      <c r="K36" s="329"/>
      <c r="L36" s="320"/>
      <c r="M36" s="320"/>
      <c r="N36" s="320"/>
    </row>
    <row r="37" spans="1:14" s="17" customFormat="1" ht="15">
      <c r="A37" s="94"/>
      <c r="B37" s="93"/>
      <c r="C37" s="321"/>
      <c r="D37" s="324"/>
      <c r="E37" s="325"/>
      <c r="F37" s="325"/>
      <c r="G37" s="325"/>
      <c r="H37" s="326"/>
      <c r="I37" s="326"/>
      <c r="J37" s="326"/>
      <c r="K37" s="326"/>
      <c r="L37" s="320"/>
      <c r="M37" s="320"/>
      <c r="N37" s="320"/>
    </row>
    <row r="38" spans="1:14" s="17" customFormat="1" ht="15">
      <c r="A38" s="94"/>
      <c r="B38" s="95"/>
      <c r="C38" s="328"/>
      <c r="D38" s="324"/>
      <c r="E38" s="325"/>
      <c r="F38" s="325"/>
      <c r="G38" s="325"/>
      <c r="H38" s="326"/>
      <c r="I38" s="327"/>
      <c r="J38" s="327"/>
      <c r="K38" s="327"/>
      <c r="L38" s="320"/>
      <c r="M38" s="320"/>
      <c r="N38" s="320"/>
    </row>
    <row r="39" spans="1:14" s="17" customFormat="1" ht="15">
      <c r="A39" s="94"/>
      <c r="B39" s="53"/>
      <c r="C39" s="330"/>
      <c r="D39" s="324"/>
      <c r="E39" s="325"/>
      <c r="F39" s="325"/>
      <c r="G39" s="325"/>
      <c r="H39" s="326"/>
      <c r="I39" s="327"/>
      <c r="J39" s="327"/>
      <c r="K39" s="327"/>
      <c r="L39" s="320"/>
      <c r="M39" s="320"/>
      <c r="N39" s="320"/>
    </row>
    <row r="40" spans="1:14" s="17" customFormat="1" ht="15">
      <c r="A40" s="94"/>
      <c r="B40" s="95"/>
      <c r="C40" s="328"/>
      <c r="D40" s="324"/>
      <c r="E40" s="325"/>
      <c r="F40" s="325"/>
      <c r="G40" s="325"/>
      <c r="H40" s="326"/>
      <c r="I40" s="329"/>
      <c r="J40" s="329"/>
      <c r="K40" s="329"/>
      <c r="L40" s="320"/>
      <c r="M40" s="320"/>
      <c r="N40" s="320"/>
    </row>
    <row r="41" spans="1:14" s="17" customFormat="1" ht="15">
      <c r="A41" s="94"/>
      <c r="B41" s="95"/>
      <c r="C41" s="328"/>
      <c r="D41" s="324"/>
      <c r="E41" s="325"/>
      <c r="F41" s="325"/>
      <c r="G41" s="325"/>
      <c r="H41" s="325"/>
      <c r="I41" s="325"/>
      <c r="J41" s="325"/>
      <c r="K41" s="325"/>
      <c r="L41" s="320"/>
      <c r="M41" s="320"/>
      <c r="N41" s="320"/>
    </row>
    <row r="42" spans="1:14" s="17" customFormat="1" ht="15">
      <c r="A42" s="94"/>
      <c r="B42" s="95"/>
      <c r="C42" s="328"/>
      <c r="D42" s="324"/>
      <c r="E42" s="325"/>
      <c r="F42" s="325"/>
      <c r="G42" s="325"/>
      <c r="H42" s="325"/>
      <c r="I42" s="325"/>
      <c r="J42" s="325"/>
      <c r="K42" s="325"/>
      <c r="L42" s="320"/>
      <c r="M42" s="320"/>
      <c r="N42" s="320"/>
    </row>
    <row r="43" spans="1:14" s="17" customFormat="1" ht="15">
      <c r="A43" s="94"/>
      <c r="B43" s="95"/>
      <c r="C43" s="328"/>
      <c r="D43" s="324"/>
      <c r="E43" s="325"/>
      <c r="F43" s="325"/>
      <c r="G43" s="325"/>
      <c r="H43" s="325"/>
      <c r="I43" s="325"/>
      <c r="J43" s="325"/>
      <c r="K43" s="325"/>
      <c r="L43" s="320"/>
      <c r="M43" s="320"/>
      <c r="N43" s="320"/>
    </row>
    <row r="44" spans="1:14" s="17" customFormat="1" ht="15">
      <c r="A44" s="94"/>
      <c r="B44" s="95"/>
      <c r="C44" s="328"/>
      <c r="D44" s="324"/>
      <c r="E44" s="325"/>
      <c r="F44" s="325"/>
      <c r="G44" s="325"/>
      <c r="H44" s="325"/>
      <c r="I44" s="325"/>
      <c r="J44" s="325"/>
      <c r="K44" s="325"/>
      <c r="L44" s="320"/>
      <c r="M44" s="320"/>
      <c r="N44" s="320"/>
    </row>
    <row r="45" spans="1:14" s="17" customFormat="1" ht="15">
      <c r="A45" s="94"/>
      <c r="B45" s="95"/>
      <c r="C45" s="328"/>
      <c r="D45" s="324"/>
      <c r="E45" s="325"/>
      <c r="F45" s="325"/>
      <c r="G45" s="325"/>
      <c r="H45" s="325"/>
      <c r="I45" s="325"/>
      <c r="J45" s="325"/>
      <c r="K45" s="325"/>
      <c r="L45" s="320"/>
      <c r="M45" s="320"/>
      <c r="N45" s="320"/>
    </row>
    <row r="46" spans="1:14" s="17" customFormat="1" ht="15">
      <c r="A46" s="94"/>
      <c r="B46" s="95"/>
      <c r="C46" s="328"/>
      <c r="D46" s="324"/>
      <c r="E46" s="325"/>
      <c r="F46" s="325"/>
      <c r="G46" s="325"/>
      <c r="H46" s="325"/>
      <c r="I46" s="325"/>
      <c r="J46" s="325"/>
      <c r="K46" s="325"/>
      <c r="L46" s="320"/>
      <c r="M46" s="320"/>
      <c r="N46" s="320"/>
    </row>
    <row r="47" spans="1:14" s="17" customFormat="1" ht="15">
      <c r="A47" s="94"/>
      <c r="B47" s="95"/>
      <c r="C47" s="328"/>
      <c r="D47" s="324"/>
      <c r="E47" s="325"/>
      <c r="F47" s="325"/>
      <c r="G47" s="325"/>
      <c r="H47" s="325"/>
      <c r="I47" s="325"/>
      <c r="J47" s="325"/>
      <c r="K47" s="325"/>
      <c r="L47" s="320"/>
      <c r="M47" s="320"/>
      <c r="N47" s="320"/>
    </row>
    <row r="48" spans="1:14" s="17" customFormat="1" ht="15">
      <c r="A48" s="94"/>
      <c r="B48" s="95"/>
      <c r="C48" s="328"/>
      <c r="D48" s="324"/>
      <c r="E48" s="325"/>
      <c r="F48" s="325"/>
      <c r="G48" s="325"/>
      <c r="H48" s="325"/>
      <c r="I48" s="325"/>
      <c r="J48" s="325"/>
      <c r="K48" s="325"/>
      <c r="L48" s="320"/>
      <c r="M48" s="320"/>
      <c r="N48" s="320"/>
    </row>
    <row r="49" spans="1:14" s="17" customFormat="1" ht="15">
      <c r="A49" s="94"/>
      <c r="B49" s="95"/>
      <c r="C49" s="328"/>
      <c r="D49" s="324"/>
      <c r="E49" s="325"/>
      <c r="F49" s="325"/>
      <c r="G49" s="325"/>
      <c r="H49" s="325"/>
      <c r="I49" s="325"/>
      <c r="J49" s="325"/>
      <c r="K49" s="325"/>
      <c r="L49" s="320"/>
      <c r="M49" s="320"/>
      <c r="N49" s="320"/>
    </row>
    <row r="50" spans="1:14" s="17" customFormat="1" ht="15">
      <c r="A50" s="94"/>
      <c r="B50" s="95"/>
      <c r="C50" s="328"/>
      <c r="D50" s="324"/>
      <c r="E50" s="325"/>
      <c r="F50" s="325"/>
      <c r="G50" s="325"/>
      <c r="H50" s="325"/>
      <c r="I50" s="325"/>
      <c r="J50" s="325"/>
      <c r="K50" s="325"/>
      <c r="L50" s="320"/>
      <c r="M50" s="320"/>
      <c r="N50" s="320"/>
    </row>
    <row r="51" spans="1:14" s="17" customFormat="1" ht="15">
      <c r="A51" s="94"/>
      <c r="B51" s="95"/>
      <c r="C51" s="328"/>
      <c r="D51" s="324"/>
      <c r="E51" s="325"/>
      <c r="F51" s="325"/>
      <c r="G51" s="325"/>
      <c r="H51" s="325"/>
      <c r="I51" s="325"/>
      <c r="J51" s="325"/>
      <c r="K51" s="325"/>
      <c r="L51" s="320"/>
      <c r="M51" s="320"/>
      <c r="N51" s="320"/>
    </row>
    <row r="52" spans="1:14" s="17" customFormat="1" ht="15">
      <c r="A52" s="94"/>
      <c r="B52" s="95"/>
      <c r="C52" s="328"/>
      <c r="D52" s="324"/>
      <c r="E52" s="325"/>
      <c r="F52" s="325"/>
      <c r="G52" s="325"/>
      <c r="H52" s="325"/>
      <c r="I52" s="325"/>
      <c r="J52" s="325"/>
      <c r="K52" s="325"/>
      <c r="L52" s="320"/>
      <c r="M52" s="320"/>
      <c r="N52" s="320"/>
    </row>
    <row r="53" spans="1:14" s="17" customFormat="1" ht="15">
      <c r="A53" s="94"/>
      <c r="B53" s="95"/>
      <c r="C53" s="328"/>
      <c r="D53" s="324"/>
      <c r="E53" s="325"/>
      <c r="F53" s="325"/>
      <c r="G53" s="325"/>
      <c r="H53" s="325"/>
      <c r="I53" s="325"/>
      <c r="J53" s="325"/>
      <c r="K53" s="325"/>
      <c r="L53" s="320"/>
      <c r="M53" s="320"/>
      <c r="N53" s="320"/>
    </row>
    <row r="54" spans="1:14" s="17" customFormat="1" ht="15">
      <c r="A54" s="94"/>
      <c r="B54" s="95"/>
      <c r="C54" s="328"/>
      <c r="D54" s="324"/>
      <c r="E54" s="325"/>
      <c r="F54" s="325"/>
      <c r="G54" s="325"/>
      <c r="H54" s="325"/>
      <c r="I54" s="325"/>
      <c r="J54" s="325"/>
      <c r="K54" s="325"/>
      <c r="L54" s="320"/>
      <c r="M54" s="320"/>
      <c r="N54" s="320"/>
    </row>
    <row r="55" spans="1:14" s="17" customFormat="1" ht="15">
      <c r="A55" s="94"/>
      <c r="B55" s="95"/>
      <c r="C55" s="328"/>
      <c r="D55" s="324"/>
      <c r="E55" s="325"/>
      <c r="F55" s="325"/>
      <c r="G55" s="325"/>
      <c r="H55" s="325"/>
      <c r="I55" s="325"/>
      <c r="J55" s="325"/>
      <c r="K55" s="325"/>
      <c r="L55" s="320"/>
      <c r="M55" s="320"/>
      <c r="N55" s="320"/>
    </row>
    <row r="56" spans="1:14" s="17" customFormat="1" ht="15">
      <c r="A56" s="94"/>
      <c r="B56" s="95"/>
      <c r="C56" s="328"/>
      <c r="D56" s="324"/>
      <c r="E56" s="325"/>
      <c r="F56" s="325"/>
      <c r="G56" s="325"/>
      <c r="H56" s="325"/>
      <c r="I56" s="325"/>
      <c r="J56" s="325"/>
      <c r="K56" s="325"/>
      <c r="L56" s="320"/>
      <c r="M56" s="320"/>
      <c r="N56" s="320"/>
    </row>
    <row r="57" spans="1:14" s="17" customFormat="1" ht="15">
      <c r="A57" s="94"/>
      <c r="B57" s="95"/>
      <c r="C57" s="328"/>
      <c r="D57" s="324"/>
      <c r="E57" s="325"/>
      <c r="F57" s="325"/>
      <c r="G57" s="325"/>
      <c r="H57" s="325"/>
      <c r="I57" s="325"/>
      <c r="J57" s="325"/>
      <c r="K57" s="325"/>
      <c r="L57" s="320"/>
      <c r="M57" s="320"/>
      <c r="N57" s="320"/>
    </row>
    <row r="58" spans="1:14" s="17" customFormat="1" ht="15">
      <c r="A58" s="94"/>
      <c r="B58" s="95"/>
      <c r="C58" s="328"/>
      <c r="D58" s="324"/>
      <c r="E58" s="325"/>
      <c r="F58" s="325"/>
      <c r="G58" s="325"/>
      <c r="H58" s="325"/>
      <c r="I58" s="325"/>
      <c r="J58" s="325"/>
      <c r="K58" s="325"/>
      <c r="L58" s="320"/>
      <c r="M58" s="320"/>
      <c r="N58" s="320"/>
    </row>
    <row r="59" spans="1:14" s="17" customFormat="1" ht="15">
      <c r="A59" s="94"/>
      <c r="B59" s="95"/>
      <c r="C59" s="328"/>
      <c r="D59" s="324"/>
      <c r="E59" s="325"/>
      <c r="F59" s="325"/>
      <c r="G59" s="325"/>
      <c r="H59" s="325"/>
      <c r="I59" s="325"/>
      <c r="J59" s="325"/>
      <c r="K59" s="325"/>
      <c r="L59" s="320"/>
      <c r="M59" s="320"/>
      <c r="N59" s="320"/>
    </row>
    <row r="60" spans="1:14" s="17" customFormat="1" ht="15">
      <c r="A60" s="94"/>
      <c r="B60" s="95"/>
      <c r="C60" s="328"/>
      <c r="D60" s="324"/>
      <c r="E60" s="325"/>
      <c r="F60" s="325"/>
      <c r="G60" s="325"/>
      <c r="H60" s="325"/>
      <c r="I60" s="325"/>
      <c r="J60" s="325"/>
      <c r="K60" s="325"/>
      <c r="L60" s="320"/>
      <c r="M60" s="320"/>
      <c r="N60" s="320"/>
    </row>
  </sheetData>
  <sheetProtection/>
  <mergeCells count="5">
    <mergeCell ref="A2:A3"/>
    <mergeCell ref="B2:B3"/>
    <mergeCell ref="C2:F2"/>
    <mergeCell ref="G2:J2"/>
    <mergeCell ref="K2:N2"/>
  </mergeCells>
  <printOptions/>
  <pageMargins left="0.1968503937007874" right="0.1968503937007874" top="1.1811023622047245" bottom="0.5905511811023623" header="0.1968503937007874" footer="0.1968503937007874"/>
  <pageSetup firstPageNumber="97" useFirstPageNumber="1" horizontalDpi="600" verticalDpi="600" orientation="landscape" paperSize="9" scale="70" r:id="rId1"/>
  <headerFooter alignWithMargins="0">
    <oddFooter>&amp;R&amp;12&amp;P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416"/>
  <sheetViews>
    <sheetView zoomScale="90" zoomScaleNormal="90" zoomScalePageLayoutView="0" workbookViewId="0" topLeftCell="A361">
      <selection activeCell="E418" sqref="E418"/>
    </sheetView>
  </sheetViews>
  <sheetFormatPr defaultColWidth="9.00390625" defaultRowHeight="12.75"/>
  <cols>
    <col min="1" max="1" width="55.75390625" style="34" customWidth="1"/>
    <col min="2" max="2" width="8.00390625" style="38" customWidth="1"/>
    <col min="3" max="5" width="11.75390625" style="37" customWidth="1"/>
    <col min="6" max="6" width="9.875" style="37" customWidth="1"/>
    <col min="7" max="7" width="7.00390625" style="0" customWidth="1"/>
  </cols>
  <sheetData>
    <row r="2" spans="1:7" ht="15.75">
      <c r="A2" s="385" t="s">
        <v>31</v>
      </c>
      <c r="B2" s="385"/>
      <c r="C2" s="385"/>
      <c r="D2" s="385"/>
      <c r="E2" s="385"/>
      <c r="F2" s="385"/>
      <c r="G2" s="385"/>
    </row>
    <row r="3" spans="1:7" ht="15.75">
      <c r="A3" s="385" t="s">
        <v>558</v>
      </c>
      <c r="B3" s="385"/>
      <c r="C3" s="385"/>
      <c r="D3" s="385"/>
      <c r="E3" s="385"/>
      <c r="F3" s="385"/>
      <c r="G3" s="385"/>
    </row>
    <row r="4" ht="13.5" thickBot="1"/>
    <row r="5" spans="1:7" ht="12.75" customHeight="1">
      <c r="A5" s="383" t="s">
        <v>23</v>
      </c>
      <c r="B5" s="389" t="s">
        <v>564</v>
      </c>
      <c r="C5" s="391" t="s">
        <v>34</v>
      </c>
      <c r="D5" s="392"/>
      <c r="E5" s="394"/>
      <c r="F5" s="394"/>
      <c r="G5" s="395"/>
    </row>
    <row r="6" spans="1:7" ht="33.75" customHeight="1" thickBot="1">
      <c r="A6" s="384"/>
      <c r="B6" s="390"/>
      <c r="C6" s="197" t="s">
        <v>559</v>
      </c>
      <c r="D6" s="198" t="s">
        <v>560</v>
      </c>
      <c r="E6" s="199" t="s">
        <v>561</v>
      </c>
      <c r="F6" s="199" t="s">
        <v>565</v>
      </c>
      <c r="G6" s="169" t="s">
        <v>13</v>
      </c>
    </row>
    <row r="7" spans="1:7" ht="12.75">
      <c r="A7" s="70" t="s">
        <v>38</v>
      </c>
      <c r="B7" s="73" t="s">
        <v>37</v>
      </c>
      <c r="C7" s="200">
        <f>C10+C233+C237+C259</f>
        <v>126828552.6</v>
      </c>
      <c r="D7" s="200">
        <f>D10+D233+D237+D259</f>
        <v>139889140.29999998</v>
      </c>
      <c r="E7" s="200">
        <f>E10+E233+E237+E259</f>
        <v>134707341.414</v>
      </c>
      <c r="F7" s="201">
        <f>E7-D7</f>
        <v>-5181798.885999978</v>
      </c>
      <c r="G7" s="82">
        <f>E7/D7*100</f>
        <v>96.29578187778742</v>
      </c>
    </row>
    <row r="8" spans="1:7" ht="12.75">
      <c r="A8" s="89" t="s">
        <v>230</v>
      </c>
      <c r="B8" s="174"/>
      <c r="C8" s="202">
        <f>C7-C237</f>
        <v>113892689</v>
      </c>
      <c r="D8" s="202">
        <f>D7-D237</f>
        <v>125068187.69999999</v>
      </c>
      <c r="E8" s="202">
        <f>E7-E237</f>
        <v>121239241.22</v>
      </c>
      <c r="F8" s="205">
        <f aca="true" t="shared" si="0" ref="F8:F71">E8-D8</f>
        <v>-3828946.4799999893</v>
      </c>
      <c r="G8" s="150">
        <f aca="true" t="shared" si="1" ref="G8:G71">E8/D8*100</f>
        <v>96.9385128621321</v>
      </c>
    </row>
    <row r="9" spans="1:7" ht="12.75">
      <c r="A9" s="74" t="s">
        <v>355</v>
      </c>
      <c r="B9" s="64"/>
      <c r="C9" s="204">
        <f>C11+C260</f>
        <v>61576926.1</v>
      </c>
      <c r="D9" s="204">
        <f>D11+D260</f>
        <v>61576926.1</v>
      </c>
      <c r="E9" s="204">
        <f>E11+E260</f>
        <v>59954861.503</v>
      </c>
      <c r="F9" s="205">
        <f t="shared" si="0"/>
        <v>-1622064.5970000029</v>
      </c>
      <c r="G9" s="150">
        <f t="shared" si="1"/>
        <v>97.36579153956826</v>
      </c>
    </row>
    <row r="10" spans="1:7" ht="12.75">
      <c r="A10" s="66" t="s">
        <v>40</v>
      </c>
      <c r="B10" s="58" t="s">
        <v>39</v>
      </c>
      <c r="C10" s="206">
        <f>C13+C36+C50+C169+C228</f>
        <v>93198367</v>
      </c>
      <c r="D10" s="206">
        <f>D13+D36+D50+D169+D228</f>
        <v>94998367</v>
      </c>
      <c r="E10" s="206">
        <f>E13+E36+E50+E169+E228</f>
        <v>91462768.168</v>
      </c>
      <c r="F10" s="205">
        <f t="shared" si="0"/>
        <v>-3535598.8320000023</v>
      </c>
      <c r="G10" s="150">
        <f t="shared" si="1"/>
        <v>96.27825304407601</v>
      </c>
    </row>
    <row r="11" spans="1:7" ht="12.75">
      <c r="A11" s="66" t="s">
        <v>356</v>
      </c>
      <c r="B11" s="58"/>
      <c r="C11" s="213">
        <v>60257978</v>
      </c>
      <c r="D11" s="213">
        <v>60257978</v>
      </c>
      <c r="E11" s="205">
        <v>57283035.621</v>
      </c>
      <c r="F11" s="203">
        <f t="shared" si="0"/>
        <v>-2974942.3790000007</v>
      </c>
      <c r="G11" s="151">
        <f t="shared" si="1"/>
        <v>95.06299003428227</v>
      </c>
    </row>
    <row r="12" spans="1:7" ht="12.75">
      <c r="A12" s="66" t="s">
        <v>357</v>
      </c>
      <c r="B12" s="58"/>
      <c r="C12" s="213">
        <v>32940389</v>
      </c>
      <c r="D12" s="213">
        <v>34740389</v>
      </c>
      <c r="E12" s="205">
        <v>34179732.548</v>
      </c>
      <c r="F12" s="203">
        <f t="shared" si="0"/>
        <v>-560656.4519999996</v>
      </c>
      <c r="G12" s="151">
        <f t="shared" si="1"/>
        <v>98.38615378774256</v>
      </c>
    </row>
    <row r="13" spans="1:7" ht="12.75">
      <c r="A13" s="66" t="s">
        <v>42</v>
      </c>
      <c r="B13" s="58" t="s">
        <v>41</v>
      </c>
      <c r="C13" s="206">
        <f>C14+C24+C33</f>
        <v>18507392</v>
      </c>
      <c r="D13" s="206">
        <f>D14+D24+D33</f>
        <v>17787265.4</v>
      </c>
      <c r="E13" s="206">
        <f>E14+E24+E33</f>
        <v>17276193.327</v>
      </c>
      <c r="F13" s="205">
        <f t="shared" si="0"/>
        <v>-511072.0729999989</v>
      </c>
      <c r="G13" s="150">
        <f t="shared" si="1"/>
        <v>97.12675298025295</v>
      </c>
    </row>
    <row r="14" spans="1:7" ht="12.75">
      <c r="A14" s="66" t="s">
        <v>42</v>
      </c>
      <c r="B14" s="65">
        <v>1111</v>
      </c>
      <c r="C14" s="206">
        <f>C15+C18+C20</f>
        <v>12755592</v>
      </c>
      <c r="D14" s="206">
        <f>D15+D18+D20</f>
        <v>11835465.4</v>
      </c>
      <c r="E14" s="206">
        <f>E15+E18+E20</f>
        <v>10824104.697</v>
      </c>
      <c r="F14" s="205">
        <f t="shared" si="0"/>
        <v>-1011360.7029999997</v>
      </c>
      <c r="G14" s="150">
        <f t="shared" si="1"/>
        <v>91.45482945689656</v>
      </c>
    </row>
    <row r="15" spans="1:7" ht="21">
      <c r="A15" s="66" t="s">
        <v>43</v>
      </c>
      <c r="B15" s="65">
        <v>11111</v>
      </c>
      <c r="C15" s="206">
        <f>C16+C17</f>
        <v>4758300</v>
      </c>
      <c r="D15" s="206">
        <f>D16+D17</f>
        <v>4758300</v>
      </c>
      <c r="E15" s="206">
        <f>E16+E17</f>
        <v>4587123.654</v>
      </c>
      <c r="F15" s="205">
        <f t="shared" si="0"/>
        <v>-171176.3459999999</v>
      </c>
      <c r="G15" s="150">
        <f t="shared" si="1"/>
        <v>96.40257348212597</v>
      </c>
    </row>
    <row r="16" spans="1:7" ht="12.75">
      <c r="A16" s="67" t="s">
        <v>312</v>
      </c>
      <c r="B16" s="56">
        <v>11111100</v>
      </c>
      <c r="C16" s="208">
        <v>4758300</v>
      </c>
      <c r="D16" s="208">
        <v>4758300</v>
      </c>
      <c r="E16" s="208">
        <v>4566390.513</v>
      </c>
      <c r="F16" s="203">
        <f t="shared" si="0"/>
        <v>-191909.48699999973</v>
      </c>
      <c r="G16" s="151">
        <f t="shared" si="1"/>
        <v>95.96684767669126</v>
      </c>
    </row>
    <row r="17" spans="1:7" ht="12.75">
      <c r="A17" s="67" t="s">
        <v>313</v>
      </c>
      <c r="B17" s="56">
        <v>11111200</v>
      </c>
      <c r="C17" s="208"/>
      <c r="D17" s="208"/>
      <c r="E17" s="208">
        <v>20733.141</v>
      </c>
      <c r="F17" s="203">
        <f t="shared" si="0"/>
        <v>20733.141</v>
      </c>
      <c r="G17" s="338" t="e">
        <f t="shared" si="1"/>
        <v>#DIV/0!</v>
      </c>
    </row>
    <row r="18" spans="1:7" ht="12.75">
      <c r="A18" s="66" t="s">
        <v>235</v>
      </c>
      <c r="B18" s="65">
        <v>11112</v>
      </c>
      <c r="C18" s="209">
        <f>C19</f>
        <v>1965492</v>
      </c>
      <c r="D18" s="209">
        <f>D19</f>
        <v>1965492</v>
      </c>
      <c r="E18" s="209">
        <f>E19</f>
        <v>1935692.335</v>
      </c>
      <c r="F18" s="205">
        <f t="shared" si="0"/>
        <v>-29799.665000000037</v>
      </c>
      <c r="G18" s="150">
        <f t="shared" si="1"/>
        <v>98.48385722251732</v>
      </c>
    </row>
    <row r="19" spans="1:7" ht="12.75">
      <c r="A19" s="67" t="s">
        <v>235</v>
      </c>
      <c r="B19" s="56">
        <v>11112100</v>
      </c>
      <c r="C19" s="208">
        <v>1965492</v>
      </c>
      <c r="D19" s="208">
        <v>1965492</v>
      </c>
      <c r="E19" s="208">
        <v>1935692.335</v>
      </c>
      <c r="F19" s="203">
        <f t="shared" si="0"/>
        <v>-29799.665000000037</v>
      </c>
      <c r="G19" s="151">
        <f t="shared" si="1"/>
        <v>98.48385722251732</v>
      </c>
    </row>
    <row r="20" spans="1:7" ht="12.75">
      <c r="A20" s="66" t="s">
        <v>44</v>
      </c>
      <c r="B20" s="65">
        <v>11113</v>
      </c>
      <c r="C20" s="206">
        <f>C21+C22+C23</f>
        <v>6031800</v>
      </c>
      <c r="D20" s="206">
        <f>D21+D22+D23</f>
        <v>5111673.4</v>
      </c>
      <c r="E20" s="206">
        <f>E21+E22+E23</f>
        <v>4301288.708000001</v>
      </c>
      <c r="F20" s="205">
        <f t="shared" si="0"/>
        <v>-810384.6919999998</v>
      </c>
      <c r="G20" s="150">
        <f t="shared" si="1"/>
        <v>84.14639143416322</v>
      </c>
    </row>
    <row r="21" spans="1:7" ht="12.75">
      <c r="A21" s="67" t="s">
        <v>44</v>
      </c>
      <c r="B21" s="56">
        <v>11113100</v>
      </c>
      <c r="C21" s="208">
        <v>5809600</v>
      </c>
      <c r="D21" s="208">
        <v>4859473.4</v>
      </c>
      <c r="E21" s="208">
        <v>4053315.231</v>
      </c>
      <c r="F21" s="203">
        <f t="shared" si="0"/>
        <v>-806158.1690000002</v>
      </c>
      <c r="G21" s="151">
        <f t="shared" si="1"/>
        <v>83.41058582602797</v>
      </c>
    </row>
    <row r="22" spans="1:7" ht="12.75">
      <c r="A22" s="67" t="s">
        <v>8</v>
      </c>
      <c r="B22" s="56">
        <v>11113200</v>
      </c>
      <c r="C22" s="208">
        <v>160000</v>
      </c>
      <c r="D22" s="208">
        <v>160000</v>
      </c>
      <c r="E22" s="208">
        <v>137551.077</v>
      </c>
      <c r="F22" s="203">
        <f t="shared" si="0"/>
        <v>-22448.92300000001</v>
      </c>
      <c r="G22" s="151">
        <f t="shared" si="1"/>
        <v>85.96942312499999</v>
      </c>
    </row>
    <row r="23" spans="1:7" ht="12.75">
      <c r="A23" s="67" t="s">
        <v>367</v>
      </c>
      <c r="B23" s="56">
        <v>11113300</v>
      </c>
      <c r="C23" s="208">
        <v>62200</v>
      </c>
      <c r="D23" s="208">
        <v>92200</v>
      </c>
      <c r="E23" s="208">
        <v>110422.4</v>
      </c>
      <c r="F23" s="203">
        <f t="shared" si="0"/>
        <v>18222.399999999994</v>
      </c>
      <c r="G23" s="151">
        <f t="shared" si="1"/>
        <v>119.7639913232104</v>
      </c>
    </row>
    <row r="24" spans="1:7" ht="12.75" hidden="1">
      <c r="A24" s="66" t="s">
        <v>314</v>
      </c>
      <c r="B24" s="65">
        <v>1112</v>
      </c>
      <c r="C24" s="344">
        <f>C25+C27+C30</f>
        <v>0</v>
      </c>
      <c r="D24" s="344">
        <f>D25+D27+D30</f>
        <v>0</v>
      </c>
      <c r="E24" s="344">
        <f>E25+E27+E30</f>
        <v>0</v>
      </c>
      <c r="F24" s="341">
        <f t="shared" si="0"/>
        <v>0</v>
      </c>
      <c r="G24" s="342" t="e">
        <f t="shared" si="1"/>
        <v>#DIV/0!</v>
      </c>
    </row>
    <row r="25" spans="1:7" ht="12.75" hidden="1">
      <c r="A25" s="66" t="s">
        <v>236</v>
      </c>
      <c r="B25" s="65">
        <v>11121</v>
      </c>
      <c r="C25" s="340">
        <f>C26</f>
        <v>0</v>
      </c>
      <c r="D25" s="340">
        <f>D26</f>
        <v>0</v>
      </c>
      <c r="E25" s="340">
        <f>E26</f>
        <v>0</v>
      </c>
      <c r="F25" s="341">
        <f t="shared" si="0"/>
        <v>0</v>
      </c>
      <c r="G25" s="342" t="e">
        <f t="shared" si="1"/>
        <v>#DIV/0!</v>
      </c>
    </row>
    <row r="26" spans="1:7" ht="12.75" hidden="1">
      <c r="A26" s="67" t="s">
        <v>28</v>
      </c>
      <c r="B26" s="56">
        <v>11121100</v>
      </c>
      <c r="C26" s="343"/>
      <c r="D26" s="343"/>
      <c r="E26" s="343"/>
      <c r="F26" s="337">
        <f t="shared" si="0"/>
        <v>0</v>
      </c>
      <c r="G26" s="338" t="e">
        <f t="shared" si="1"/>
        <v>#DIV/0!</v>
      </c>
    </row>
    <row r="27" spans="1:7" ht="12.75" hidden="1">
      <c r="A27" s="66" t="s">
        <v>315</v>
      </c>
      <c r="B27" s="65">
        <v>11122</v>
      </c>
      <c r="C27" s="340">
        <f>C28+C29</f>
        <v>0</v>
      </c>
      <c r="D27" s="340">
        <f>D28+D29</f>
        <v>0</v>
      </c>
      <c r="E27" s="340">
        <f>E28+E29</f>
        <v>0</v>
      </c>
      <c r="F27" s="341">
        <f t="shared" si="0"/>
        <v>0</v>
      </c>
      <c r="G27" s="342" t="e">
        <f t="shared" si="1"/>
        <v>#DIV/0!</v>
      </c>
    </row>
    <row r="28" spans="1:7" ht="12.75" hidden="1">
      <c r="A28" s="67" t="s">
        <v>316</v>
      </c>
      <c r="B28" s="56">
        <v>11122100</v>
      </c>
      <c r="C28" s="343"/>
      <c r="D28" s="343"/>
      <c r="E28" s="343"/>
      <c r="F28" s="337">
        <f t="shared" si="0"/>
        <v>0</v>
      </c>
      <c r="G28" s="338" t="e">
        <f t="shared" si="1"/>
        <v>#DIV/0!</v>
      </c>
    </row>
    <row r="29" spans="1:7" ht="12.75" hidden="1">
      <c r="A29" s="67" t="s">
        <v>317</v>
      </c>
      <c r="B29" s="56">
        <v>11122200</v>
      </c>
      <c r="C29" s="343"/>
      <c r="D29" s="343"/>
      <c r="E29" s="343"/>
      <c r="F29" s="337">
        <f t="shared" si="0"/>
        <v>0</v>
      </c>
      <c r="G29" s="338" t="e">
        <f t="shared" si="1"/>
        <v>#DIV/0!</v>
      </c>
    </row>
    <row r="30" spans="1:7" ht="12.75" hidden="1">
      <c r="A30" s="66" t="s">
        <v>318</v>
      </c>
      <c r="B30" s="65">
        <v>11123</v>
      </c>
      <c r="C30" s="209">
        <f>C31+C32</f>
        <v>0</v>
      </c>
      <c r="D30" s="209">
        <f>D31+D32</f>
        <v>0</v>
      </c>
      <c r="E30" s="209">
        <f>E31+E32</f>
        <v>0</v>
      </c>
      <c r="F30" s="205">
        <f t="shared" si="0"/>
        <v>0</v>
      </c>
      <c r="G30" s="150" t="e">
        <f t="shared" si="1"/>
        <v>#DIV/0!</v>
      </c>
    </row>
    <row r="31" spans="1:7" ht="22.5" hidden="1">
      <c r="A31" s="67" t="s">
        <v>363</v>
      </c>
      <c r="B31" s="56">
        <v>11123100</v>
      </c>
      <c r="C31" s="208"/>
      <c r="D31" s="208"/>
      <c r="E31" s="208"/>
      <c r="F31" s="203">
        <f t="shared" si="0"/>
        <v>0</v>
      </c>
      <c r="G31" s="151" t="e">
        <f t="shared" si="1"/>
        <v>#DIV/0!</v>
      </c>
    </row>
    <row r="32" spans="1:7" ht="22.5" hidden="1">
      <c r="A32" s="67" t="s">
        <v>364</v>
      </c>
      <c r="B32" s="56">
        <v>11123200</v>
      </c>
      <c r="C32" s="208"/>
      <c r="D32" s="208"/>
      <c r="E32" s="208"/>
      <c r="F32" s="203">
        <f t="shared" si="0"/>
        <v>0</v>
      </c>
      <c r="G32" s="151" t="e">
        <f t="shared" si="1"/>
        <v>#DIV/0!</v>
      </c>
    </row>
    <row r="33" spans="1:7" ht="12.75">
      <c r="A33" s="66" t="s">
        <v>353</v>
      </c>
      <c r="B33" s="65">
        <v>1113</v>
      </c>
      <c r="C33" s="209">
        <f aca="true" t="shared" si="2" ref="C33:E34">C34</f>
        <v>5751800</v>
      </c>
      <c r="D33" s="209">
        <f t="shared" si="2"/>
        <v>5951800</v>
      </c>
      <c r="E33" s="209">
        <f t="shared" si="2"/>
        <v>6452088.63</v>
      </c>
      <c r="F33" s="205">
        <f t="shared" si="0"/>
        <v>500288.6299999999</v>
      </c>
      <c r="G33" s="150">
        <f t="shared" si="1"/>
        <v>108.40566937733122</v>
      </c>
    </row>
    <row r="34" spans="1:7" ht="12.75">
      <c r="A34" s="66" t="s">
        <v>354</v>
      </c>
      <c r="B34" s="65">
        <v>11131</v>
      </c>
      <c r="C34" s="209">
        <f t="shared" si="2"/>
        <v>5751800</v>
      </c>
      <c r="D34" s="209">
        <f t="shared" si="2"/>
        <v>5951800</v>
      </c>
      <c r="E34" s="209">
        <f t="shared" si="2"/>
        <v>6452088.63</v>
      </c>
      <c r="F34" s="205">
        <f t="shared" si="0"/>
        <v>500288.6299999999</v>
      </c>
      <c r="G34" s="150">
        <f t="shared" si="1"/>
        <v>108.40566937733122</v>
      </c>
    </row>
    <row r="35" spans="1:7" ht="12.75">
      <c r="A35" s="67" t="s">
        <v>354</v>
      </c>
      <c r="B35" s="56">
        <v>11131100</v>
      </c>
      <c r="C35" s="208">
        <v>5751800</v>
      </c>
      <c r="D35" s="208">
        <v>5951800</v>
      </c>
      <c r="E35" s="208">
        <v>6452088.63</v>
      </c>
      <c r="F35" s="203">
        <f t="shared" si="0"/>
        <v>500288.6299999999</v>
      </c>
      <c r="G35" s="151">
        <f t="shared" si="1"/>
        <v>108.40566937733122</v>
      </c>
    </row>
    <row r="36" spans="1:7" ht="12.75" hidden="1">
      <c r="A36" s="66" t="s">
        <v>46</v>
      </c>
      <c r="B36" s="58" t="s">
        <v>45</v>
      </c>
      <c r="C36" s="344">
        <f>C37+C45</f>
        <v>0</v>
      </c>
      <c r="D36" s="344">
        <f>D37+D45</f>
        <v>0</v>
      </c>
      <c r="E36" s="344">
        <f>E37+E45</f>
        <v>0</v>
      </c>
      <c r="F36" s="341">
        <f t="shared" si="0"/>
        <v>0</v>
      </c>
      <c r="G36" s="342" t="e">
        <f t="shared" si="1"/>
        <v>#DIV/0!</v>
      </c>
    </row>
    <row r="37" spans="1:7" ht="12.75" hidden="1">
      <c r="A37" s="66" t="s">
        <v>319</v>
      </c>
      <c r="B37" s="58" t="s">
        <v>47</v>
      </c>
      <c r="C37" s="344">
        <f>C38+C42</f>
        <v>0</v>
      </c>
      <c r="D37" s="344">
        <f>D38+D42</f>
        <v>0</v>
      </c>
      <c r="E37" s="344">
        <f>E38+E42</f>
        <v>0</v>
      </c>
      <c r="F37" s="341">
        <f t="shared" si="0"/>
        <v>0</v>
      </c>
      <c r="G37" s="342" t="e">
        <f t="shared" si="1"/>
        <v>#DIV/0!</v>
      </c>
    </row>
    <row r="38" spans="1:7" ht="12.75" hidden="1">
      <c r="A38" s="66" t="s">
        <v>237</v>
      </c>
      <c r="B38" s="65">
        <v>11311</v>
      </c>
      <c r="C38" s="340">
        <f>C39+C40+C41</f>
        <v>0</v>
      </c>
      <c r="D38" s="340">
        <f>D39+D40+D41</f>
        <v>0</v>
      </c>
      <c r="E38" s="340">
        <f>E39+E40+E41</f>
        <v>0</v>
      </c>
      <c r="F38" s="341">
        <f t="shared" si="0"/>
        <v>0</v>
      </c>
      <c r="G38" s="342" t="e">
        <f t="shared" si="1"/>
        <v>#DIV/0!</v>
      </c>
    </row>
    <row r="39" spans="1:7" ht="22.5" hidden="1">
      <c r="A39" s="67" t="s">
        <v>320</v>
      </c>
      <c r="B39" s="56">
        <v>11311100</v>
      </c>
      <c r="C39" s="343"/>
      <c r="D39" s="343"/>
      <c r="E39" s="343"/>
      <c r="F39" s="337">
        <f t="shared" si="0"/>
        <v>0</v>
      </c>
      <c r="G39" s="338" t="e">
        <f t="shared" si="1"/>
        <v>#DIV/0!</v>
      </c>
    </row>
    <row r="40" spans="1:7" ht="22.5" hidden="1">
      <c r="A40" s="67" t="s">
        <v>365</v>
      </c>
      <c r="B40" s="56">
        <v>11311200</v>
      </c>
      <c r="C40" s="343"/>
      <c r="D40" s="343"/>
      <c r="E40" s="343"/>
      <c r="F40" s="337">
        <f t="shared" si="0"/>
        <v>0</v>
      </c>
      <c r="G40" s="338" t="e">
        <f t="shared" si="1"/>
        <v>#DIV/0!</v>
      </c>
    </row>
    <row r="41" spans="1:7" ht="22.5" hidden="1">
      <c r="A41" s="67" t="s">
        <v>366</v>
      </c>
      <c r="B41" s="56">
        <v>11311300</v>
      </c>
      <c r="C41" s="343"/>
      <c r="D41" s="343"/>
      <c r="E41" s="343"/>
      <c r="F41" s="337">
        <f t="shared" si="0"/>
        <v>0</v>
      </c>
      <c r="G41" s="338" t="e">
        <f t="shared" si="1"/>
        <v>#DIV/0!</v>
      </c>
    </row>
    <row r="42" spans="1:7" ht="12.75" hidden="1">
      <c r="A42" s="66" t="s">
        <v>321</v>
      </c>
      <c r="B42" s="65">
        <v>11312</v>
      </c>
      <c r="C42" s="344">
        <f>C43+C44</f>
        <v>0</v>
      </c>
      <c r="D42" s="344">
        <f>D43+D44</f>
        <v>0</v>
      </c>
      <c r="E42" s="344">
        <f>E43+E44</f>
        <v>0</v>
      </c>
      <c r="F42" s="341">
        <f t="shared" si="0"/>
        <v>0</v>
      </c>
      <c r="G42" s="342" t="e">
        <f t="shared" si="1"/>
        <v>#DIV/0!</v>
      </c>
    </row>
    <row r="43" spans="1:7" ht="12.75" hidden="1">
      <c r="A43" s="67" t="s">
        <v>322</v>
      </c>
      <c r="B43" s="56">
        <v>11312110</v>
      </c>
      <c r="C43" s="343"/>
      <c r="D43" s="343"/>
      <c r="E43" s="343"/>
      <c r="F43" s="337">
        <f t="shared" si="0"/>
        <v>0</v>
      </c>
      <c r="G43" s="338" t="e">
        <f t="shared" si="1"/>
        <v>#DIV/0!</v>
      </c>
    </row>
    <row r="44" spans="1:7" ht="12.75" hidden="1">
      <c r="A44" s="67" t="s">
        <v>323</v>
      </c>
      <c r="B44" s="56">
        <v>11312120</v>
      </c>
      <c r="C44" s="343"/>
      <c r="D44" s="343"/>
      <c r="E44" s="343"/>
      <c r="F44" s="337">
        <f t="shared" si="0"/>
        <v>0</v>
      </c>
      <c r="G44" s="338" t="e">
        <f t="shared" si="1"/>
        <v>#DIV/0!</v>
      </c>
    </row>
    <row r="45" spans="1:7" ht="12.75" hidden="1">
      <c r="A45" s="66" t="s">
        <v>11</v>
      </c>
      <c r="B45" s="65">
        <v>1132</v>
      </c>
      <c r="C45" s="344">
        <f>C46</f>
        <v>0</v>
      </c>
      <c r="D45" s="344">
        <f>D46</f>
        <v>0</v>
      </c>
      <c r="E45" s="344">
        <f>E46</f>
        <v>0</v>
      </c>
      <c r="F45" s="341">
        <f t="shared" si="0"/>
        <v>0</v>
      </c>
      <c r="G45" s="342" t="e">
        <f t="shared" si="1"/>
        <v>#DIV/0!</v>
      </c>
    </row>
    <row r="46" spans="1:7" ht="12.75" hidden="1">
      <c r="A46" s="66" t="s">
        <v>11</v>
      </c>
      <c r="B46" s="65">
        <v>11321</v>
      </c>
      <c r="C46" s="344">
        <f>C47+C48+C49</f>
        <v>0</v>
      </c>
      <c r="D46" s="344">
        <f>D47+D48+D49</f>
        <v>0</v>
      </c>
      <c r="E46" s="344">
        <f>E47+E48+E49</f>
        <v>0</v>
      </c>
      <c r="F46" s="341">
        <f t="shared" si="0"/>
        <v>0</v>
      </c>
      <c r="G46" s="342" t="e">
        <f t="shared" si="1"/>
        <v>#DIV/0!</v>
      </c>
    </row>
    <row r="47" spans="1:7" ht="22.5" hidden="1">
      <c r="A47" s="67" t="s">
        <v>324</v>
      </c>
      <c r="B47" s="56">
        <v>11321100</v>
      </c>
      <c r="C47" s="343"/>
      <c r="D47" s="343"/>
      <c r="E47" s="343"/>
      <c r="F47" s="337">
        <f t="shared" si="0"/>
        <v>0</v>
      </c>
      <c r="G47" s="338" t="e">
        <f t="shared" si="1"/>
        <v>#DIV/0!</v>
      </c>
    </row>
    <row r="48" spans="1:7" ht="12.75" hidden="1">
      <c r="A48" s="67" t="s">
        <v>48</v>
      </c>
      <c r="B48" s="56">
        <v>11321200</v>
      </c>
      <c r="C48" s="343"/>
      <c r="D48" s="343"/>
      <c r="E48" s="343"/>
      <c r="F48" s="337">
        <f t="shared" si="0"/>
        <v>0</v>
      </c>
      <c r="G48" s="338" t="e">
        <f t="shared" si="1"/>
        <v>#DIV/0!</v>
      </c>
    </row>
    <row r="49" spans="1:7" ht="22.5" hidden="1">
      <c r="A49" s="67" t="s">
        <v>325</v>
      </c>
      <c r="B49" s="56">
        <v>11321300</v>
      </c>
      <c r="C49" s="343"/>
      <c r="D49" s="343"/>
      <c r="E49" s="343"/>
      <c r="F49" s="337">
        <f t="shared" si="0"/>
        <v>0</v>
      </c>
      <c r="G49" s="338" t="e">
        <f t="shared" si="1"/>
        <v>#DIV/0!</v>
      </c>
    </row>
    <row r="50" spans="1:7" ht="12.75">
      <c r="A50" s="66" t="s">
        <v>50</v>
      </c>
      <c r="B50" s="58" t="s">
        <v>49</v>
      </c>
      <c r="C50" s="206">
        <f>C51+C63+C119</f>
        <v>56938486</v>
      </c>
      <c r="D50" s="206">
        <f>D51+D63+D119</f>
        <v>60913612.6</v>
      </c>
      <c r="E50" s="206">
        <f>E51+E63+E119</f>
        <v>57690738.977000006</v>
      </c>
      <c r="F50" s="205">
        <f t="shared" si="0"/>
        <v>-3222873.622999996</v>
      </c>
      <c r="G50" s="150">
        <f t="shared" si="1"/>
        <v>94.70910772578279</v>
      </c>
    </row>
    <row r="51" spans="1:7" ht="12.75">
      <c r="A51" s="66" t="s">
        <v>238</v>
      </c>
      <c r="B51" s="58">
        <v>1141</v>
      </c>
      <c r="C51" s="206">
        <f>C52+C57+C59+C61</f>
        <v>47276250</v>
      </c>
      <c r="D51" s="206">
        <f>D52+D57+D59+D61</f>
        <v>50471250</v>
      </c>
      <c r="E51" s="206">
        <f>E52+E57+E59+E61</f>
        <v>47147939.897</v>
      </c>
      <c r="F51" s="205">
        <f t="shared" si="0"/>
        <v>-3323310.103</v>
      </c>
      <c r="G51" s="150">
        <f t="shared" si="1"/>
        <v>93.41543927879734</v>
      </c>
    </row>
    <row r="52" spans="1:7" ht="12.75">
      <c r="A52" s="66" t="s">
        <v>51</v>
      </c>
      <c r="B52" s="65">
        <v>11411</v>
      </c>
      <c r="C52" s="210">
        <f>C53+C54+C55+C56</f>
        <v>45202900</v>
      </c>
      <c r="D52" s="210">
        <f>D53+D54+D55+D56</f>
        <v>48397900</v>
      </c>
      <c r="E52" s="210">
        <f>E53+E54+E55+E56</f>
        <v>45131028.736</v>
      </c>
      <c r="F52" s="205">
        <f t="shared" si="0"/>
        <v>-3266871.2639999986</v>
      </c>
      <c r="G52" s="150">
        <f t="shared" si="1"/>
        <v>93.24997311040354</v>
      </c>
    </row>
    <row r="53" spans="1:7" ht="22.5">
      <c r="A53" s="67" t="s">
        <v>52</v>
      </c>
      <c r="B53" s="56">
        <v>11411100</v>
      </c>
      <c r="C53" s="208">
        <v>13068800</v>
      </c>
      <c r="D53" s="208">
        <v>13068800</v>
      </c>
      <c r="E53" s="208">
        <v>12560076.395</v>
      </c>
      <c r="F53" s="203">
        <f t="shared" si="0"/>
        <v>-508723.60500000045</v>
      </c>
      <c r="G53" s="151">
        <f t="shared" si="1"/>
        <v>96.10734264048726</v>
      </c>
    </row>
    <row r="54" spans="1:7" ht="22.5">
      <c r="A54" s="67" t="s">
        <v>467</v>
      </c>
      <c r="B54" s="56">
        <v>11411200</v>
      </c>
      <c r="C54" s="208"/>
      <c r="D54" s="208"/>
      <c r="E54" s="208">
        <v>5156.707</v>
      </c>
      <c r="F54" s="203">
        <f t="shared" si="0"/>
        <v>5156.707</v>
      </c>
      <c r="G54" s="338" t="e">
        <f t="shared" si="1"/>
        <v>#DIV/0!</v>
      </c>
    </row>
    <row r="55" spans="1:7" ht="22.5">
      <c r="A55" s="67" t="s">
        <v>468</v>
      </c>
      <c r="B55" s="56">
        <v>11411300</v>
      </c>
      <c r="C55" s="208">
        <v>17096400</v>
      </c>
      <c r="D55" s="208">
        <v>17096400</v>
      </c>
      <c r="E55" s="208">
        <v>15142466.818</v>
      </c>
      <c r="F55" s="203">
        <f t="shared" si="0"/>
        <v>-1953933.182</v>
      </c>
      <c r="G55" s="151">
        <f t="shared" si="1"/>
        <v>88.57108407617979</v>
      </c>
    </row>
    <row r="56" spans="1:7" ht="22.5">
      <c r="A56" s="67" t="s">
        <v>469</v>
      </c>
      <c r="B56" s="56">
        <v>11411400</v>
      </c>
      <c r="C56" s="208">
        <v>15037700</v>
      </c>
      <c r="D56" s="208">
        <v>18232700</v>
      </c>
      <c r="E56" s="208">
        <v>17423328.816</v>
      </c>
      <c r="F56" s="203">
        <f t="shared" si="0"/>
        <v>-809371.1840000004</v>
      </c>
      <c r="G56" s="151">
        <f t="shared" si="1"/>
        <v>95.56088136150981</v>
      </c>
    </row>
    <row r="57" spans="1:7" ht="12.75">
      <c r="A57" s="66" t="s">
        <v>326</v>
      </c>
      <c r="B57" s="65">
        <v>11412</v>
      </c>
      <c r="C57" s="209">
        <f>C58</f>
        <v>2073350</v>
      </c>
      <c r="D57" s="209">
        <f>D58</f>
        <v>2073350</v>
      </c>
      <c r="E57" s="209">
        <f>E58</f>
        <v>2016911.161</v>
      </c>
      <c r="F57" s="205">
        <f t="shared" si="0"/>
        <v>-56438.83899999992</v>
      </c>
      <c r="G57" s="150">
        <f t="shared" si="1"/>
        <v>97.27789138350978</v>
      </c>
    </row>
    <row r="58" spans="1:7" ht="12.75">
      <c r="A58" s="67" t="s">
        <v>326</v>
      </c>
      <c r="B58" s="56">
        <v>11412100</v>
      </c>
      <c r="C58" s="208">
        <v>2073350</v>
      </c>
      <c r="D58" s="208">
        <v>2073350</v>
      </c>
      <c r="E58" s="208">
        <v>2016911.161</v>
      </c>
      <c r="F58" s="203">
        <f t="shared" si="0"/>
        <v>-56438.83899999992</v>
      </c>
      <c r="G58" s="151">
        <f t="shared" si="1"/>
        <v>97.27789138350978</v>
      </c>
    </row>
    <row r="59" spans="1:7" ht="12.75" hidden="1">
      <c r="A59" s="66" t="s">
        <v>29</v>
      </c>
      <c r="B59" s="65">
        <v>11413</v>
      </c>
      <c r="C59" s="210">
        <f>C60</f>
        <v>0</v>
      </c>
      <c r="D59" s="210">
        <f>D60</f>
        <v>0</v>
      </c>
      <c r="E59" s="210">
        <f>E60</f>
        <v>0</v>
      </c>
      <c r="F59" s="205">
        <f t="shared" si="0"/>
        <v>0</v>
      </c>
      <c r="G59" s="150" t="e">
        <f t="shared" si="1"/>
        <v>#DIV/0!</v>
      </c>
    </row>
    <row r="60" spans="1:7" ht="12.75" hidden="1">
      <c r="A60" s="67" t="s">
        <v>29</v>
      </c>
      <c r="B60" s="56">
        <v>11413100</v>
      </c>
      <c r="C60" s="208"/>
      <c r="D60" s="208"/>
      <c r="E60" s="208"/>
      <c r="F60" s="203">
        <f t="shared" si="0"/>
        <v>0</v>
      </c>
      <c r="G60" s="151" t="e">
        <f t="shared" si="1"/>
        <v>#DIV/0!</v>
      </c>
    </row>
    <row r="61" spans="1:7" ht="21" hidden="1">
      <c r="A61" s="66" t="s">
        <v>53</v>
      </c>
      <c r="B61" s="65">
        <v>11414</v>
      </c>
      <c r="C61" s="206">
        <f>C62</f>
        <v>0</v>
      </c>
      <c r="D61" s="206">
        <f>D62</f>
        <v>0</v>
      </c>
      <c r="E61" s="206">
        <f>E62</f>
        <v>0</v>
      </c>
      <c r="F61" s="205">
        <f t="shared" si="0"/>
        <v>0</v>
      </c>
      <c r="G61" s="150" t="e">
        <f t="shared" si="1"/>
        <v>#DIV/0!</v>
      </c>
    </row>
    <row r="62" spans="1:7" ht="12.75" hidden="1">
      <c r="A62" s="67" t="s">
        <v>53</v>
      </c>
      <c r="B62" s="56">
        <v>11414100</v>
      </c>
      <c r="C62" s="208"/>
      <c r="D62" s="208"/>
      <c r="E62" s="208"/>
      <c r="F62" s="203">
        <f t="shared" si="0"/>
        <v>0</v>
      </c>
      <c r="G62" s="151" t="e">
        <f t="shared" si="1"/>
        <v>#DIV/0!</v>
      </c>
    </row>
    <row r="63" spans="1:7" ht="12.75">
      <c r="A63" s="66" t="s">
        <v>54</v>
      </c>
      <c r="B63" s="65">
        <v>1142</v>
      </c>
      <c r="C63" s="206">
        <f>C64+C90+C115+C117</f>
        <v>8980116</v>
      </c>
      <c r="D63" s="206">
        <f>D64+D90+D115+D117</f>
        <v>9419093</v>
      </c>
      <c r="E63" s="206">
        <f>E64+E90+E115+E117</f>
        <v>9506478.465</v>
      </c>
      <c r="F63" s="205">
        <f t="shared" si="0"/>
        <v>87385.46499999985</v>
      </c>
      <c r="G63" s="150">
        <f t="shared" si="1"/>
        <v>100.92774819189066</v>
      </c>
    </row>
    <row r="64" spans="1:7" ht="21">
      <c r="A64" s="66" t="s">
        <v>327</v>
      </c>
      <c r="B64" s="65">
        <v>11421</v>
      </c>
      <c r="C64" s="209">
        <f>C65+C75+C80+C87</f>
        <v>1521616</v>
      </c>
      <c r="D64" s="209">
        <f>D65+D75+D80+D87</f>
        <v>1900593</v>
      </c>
      <c r="E64" s="209">
        <f>E65+E75+E80+E87</f>
        <v>1762554.881</v>
      </c>
      <c r="F64" s="205">
        <f t="shared" si="0"/>
        <v>-138038.11899999995</v>
      </c>
      <c r="G64" s="150">
        <f t="shared" si="1"/>
        <v>92.73710263060003</v>
      </c>
    </row>
    <row r="65" spans="1:7" ht="12.75" hidden="1">
      <c r="A65" s="66" t="s">
        <v>239</v>
      </c>
      <c r="B65" s="65">
        <v>114211</v>
      </c>
      <c r="C65" s="209">
        <f>C66+C67+C68+C69+C70+C71+C72+C73+C74</f>
        <v>834866</v>
      </c>
      <c r="D65" s="209">
        <f>D66+D67+D68+D69+D70+D71+D72+D73+D74</f>
        <v>834866</v>
      </c>
      <c r="E65" s="209">
        <f>E66+E67+E68+E69+E70+E71+E72+E73+E74</f>
        <v>716929.2849999999</v>
      </c>
      <c r="F65" s="205">
        <f t="shared" si="0"/>
        <v>-117936.71500000008</v>
      </c>
      <c r="G65" s="150">
        <f t="shared" si="1"/>
        <v>85.87357551990378</v>
      </c>
    </row>
    <row r="66" spans="1:7" ht="12.75" hidden="1">
      <c r="A66" s="67" t="s">
        <v>328</v>
      </c>
      <c r="B66" s="56">
        <v>11421110</v>
      </c>
      <c r="C66" s="208"/>
      <c r="D66" s="208"/>
      <c r="E66" s="208">
        <v>1548.919</v>
      </c>
      <c r="F66" s="203">
        <f t="shared" si="0"/>
        <v>1548.919</v>
      </c>
      <c r="G66" s="151" t="e">
        <f t="shared" si="1"/>
        <v>#DIV/0!</v>
      </c>
    </row>
    <row r="67" spans="1:7" ht="12.75" hidden="1">
      <c r="A67" s="67" t="s">
        <v>240</v>
      </c>
      <c r="B67" s="56">
        <v>11421120</v>
      </c>
      <c r="C67" s="208">
        <v>382980</v>
      </c>
      <c r="D67" s="208">
        <v>382980</v>
      </c>
      <c r="E67" s="208">
        <v>292647.284</v>
      </c>
      <c r="F67" s="203">
        <f t="shared" si="0"/>
        <v>-90332.71600000001</v>
      </c>
      <c r="G67" s="151">
        <f t="shared" si="1"/>
        <v>76.41320277821296</v>
      </c>
    </row>
    <row r="68" spans="1:7" ht="12.75" hidden="1">
      <c r="A68" s="67" t="s">
        <v>241</v>
      </c>
      <c r="B68" s="56">
        <v>11421130</v>
      </c>
      <c r="C68" s="208">
        <v>18540</v>
      </c>
      <c r="D68" s="208">
        <v>18540</v>
      </c>
      <c r="E68" s="208">
        <v>7957.751</v>
      </c>
      <c r="F68" s="203">
        <f t="shared" si="0"/>
        <v>-10582.249</v>
      </c>
      <c r="G68" s="151">
        <f t="shared" si="1"/>
        <v>42.92206580366775</v>
      </c>
    </row>
    <row r="69" spans="1:7" ht="12.75" hidden="1">
      <c r="A69" s="67" t="s">
        <v>242</v>
      </c>
      <c r="B69" s="56">
        <v>11421140</v>
      </c>
      <c r="C69" s="208">
        <v>8658</v>
      </c>
      <c r="D69" s="208">
        <v>8658</v>
      </c>
      <c r="E69" s="208">
        <v>13536.067</v>
      </c>
      <c r="F69" s="203">
        <f t="shared" si="0"/>
        <v>4878.066999999999</v>
      </c>
      <c r="G69" s="151">
        <f t="shared" si="1"/>
        <v>156.3417301917302</v>
      </c>
    </row>
    <row r="70" spans="1:7" ht="12.75" hidden="1">
      <c r="A70" s="67" t="s">
        <v>243</v>
      </c>
      <c r="B70" s="56">
        <v>11421150</v>
      </c>
      <c r="C70" s="208">
        <v>34734</v>
      </c>
      <c r="D70" s="208">
        <v>34734</v>
      </c>
      <c r="E70" s="208">
        <v>42675.091</v>
      </c>
      <c r="F70" s="203">
        <f t="shared" si="0"/>
        <v>7941.091</v>
      </c>
      <c r="G70" s="151">
        <f t="shared" si="1"/>
        <v>122.86258709045892</v>
      </c>
    </row>
    <row r="71" spans="1:7" ht="12.75" hidden="1">
      <c r="A71" s="67" t="s">
        <v>329</v>
      </c>
      <c r="B71" s="56">
        <v>11421160</v>
      </c>
      <c r="C71" s="208">
        <v>18156</v>
      </c>
      <c r="D71" s="208">
        <v>18156</v>
      </c>
      <c r="E71" s="208">
        <v>24512.495</v>
      </c>
      <c r="F71" s="203">
        <f t="shared" si="0"/>
        <v>6356.494999999999</v>
      </c>
      <c r="G71" s="151">
        <f t="shared" si="1"/>
        <v>135.0104373209958</v>
      </c>
    </row>
    <row r="72" spans="1:7" ht="12.75" hidden="1">
      <c r="A72" s="67" t="s">
        <v>244</v>
      </c>
      <c r="B72" s="56">
        <v>11421170</v>
      </c>
      <c r="C72" s="208">
        <v>343546</v>
      </c>
      <c r="D72" s="208">
        <v>324874</v>
      </c>
      <c r="E72" s="208">
        <v>292363.415</v>
      </c>
      <c r="F72" s="203">
        <f aca="true" t="shared" si="3" ref="F72:F135">E72-D72</f>
        <v>-32510.58500000002</v>
      </c>
      <c r="G72" s="151">
        <f aca="true" t="shared" si="4" ref="G72:G135">E72/D72*100</f>
        <v>89.99286338703621</v>
      </c>
    </row>
    <row r="73" spans="1:7" ht="12.75" hidden="1">
      <c r="A73" s="67" t="s">
        <v>245</v>
      </c>
      <c r="B73" s="56">
        <v>11421180</v>
      </c>
      <c r="C73" s="208">
        <v>28252</v>
      </c>
      <c r="D73" s="208">
        <v>46924</v>
      </c>
      <c r="E73" s="208">
        <v>41454.898</v>
      </c>
      <c r="F73" s="203">
        <f t="shared" si="3"/>
        <v>-5469.101999999999</v>
      </c>
      <c r="G73" s="151">
        <f t="shared" si="4"/>
        <v>88.34476600460319</v>
      </c>
    </row>
    <row r="74" spans="1:7" ht="12.75" hidden="1">
      <c r="A74" s="67" t="s">
        <v>246</v>
      </c>
      <c r="B74" s="56">
        <v>11421190</v>
      </c>
      <c r="C74" s="208"/>
      <c r="D74" s="208"/>
      <c r="E74" s="208">
        <v>233.365</v>
      </c>
      <c r="F74" s="203">
        <f t="shared" si="3"/>
        <v>233.365</v>
      </c>
      <c r="G74" s="151" t="e">
        <f t="shared" si="4"/>
        <v>#DIV/0!</v>
      </c>
    </row>
    <row r="75" spans="1:7" ht="12.75" hidden="1">
      <c r="A75" s="66" t="s">
        <v>247</v>
      </c>
      <c r="B75" s="65">
        <v>114212</v>
      </c>
      <c r="C75" s="209">
        <f>C76+C77+C78+C79</f>
        <v>0</v>
      </c>
      <c r="D75" s="209">
        <f>D76+D77+D78+D79</f>
        <v>0</v>
      </c>
      <c r="E75" s="209">
        <f>E76+E77+E78+E79</f>
        <v>69.5</v>
      </c>
      <c r="F75" s="205">
        <f t="shared" si="3"/>
        <v>69.5</v>
      </c>
      <c r="G75" s="150" t="e">
        <f t="shared" si="4"/>
        <v>#DIV/0!</v>
      </c>
    </row>
    <row r="76" spans="1:7" ht="12.75" hidden="1">
      <c r="A76" s="67" t="s">
        <v>248</v>
      </c>
      <c r="B76" s="56">
        <v>11421210</v>
      </c>
      <c r="C76" s="208"/>
      <c r="D76" s="208"/>
      <c r="E76" s="208">
        <v>41.5</v>
      </c>
      <c r="F76" s="203">
        <f t="shared" si="3"/>
        <v>41.5</v>
      </c>
      <c r="G76" s="151" t="e">
        <f t="shared" si="4"/>
        <v>#DIV/0!</v>
      </c>
    </row>
    <row r="77" spans="1:7" ht="12.75" hidden="1">
      <c r="A77" s="67" t="s">
        <v>249</v>
      </c>
      <c r="B77" s="56">
        <v>11421220</v>
      </c>
      <c r="C77" s="208"/>
      <c r="D77" s="208"/>
      <c r="E77" s="208">
        <v>58.4</v>
      </c>
      <c r="F77" s="203">
        <f t="shared" si="3"/>
        <v>58.4</v>
      </c>
      <c r="G77" s="151" t="e">
        <f t="shared" si="4"/>
        <v>#DIV/0!</v>
      </c>
    </row>
    <row r="78" spans="1:7" ht="12.75" hidden="1">
      <c r="A78" s="67" t="s">
        <v>521</v>
      </c>
      <c r="B78" s="56">
        <v>11421230</v>
      </c>
      <c r="C78" s="208"/>
      <c r="D78" s="208"/>
      <c r="E78" s="208"/>
      <c r="F78" s="203">
        <f t="shared" si="3"/>
        <v>0</v>
      </c>
      <c r="G78" s="151" t="e">
        <f t="shared" si="4"/>
        <v>#DIV/0!</v>
      </c>
    </row>
    <row r="79" spans="1:7" ht="12.75" hidden="1">
      <c r="A79" s="67" t="s">
        <v>251</v>
      </c>
      <c r="B79" s="56">
        <v>11421290</v>
      </c>
      <c r="C79" s="208"/>
      <c r="D79" s="208"/>
      <c r="E79" s="208">
        <v>-30.4</v>
      </c>
      <c r="F79" s="203">
        <f t="shared" si="3"/>
        <v>-30.4</v>
      </c>
      <c r="G79" s="151" t="e">
        <f t="shared" si="4"/>
        <v>#DIV/0!</v>
      </c>
    </row>
    <row r="80" spans="1:7" ht="12.75" hidden="1">
      <c r="A80" s="66" t="s">
        <v>252</v>
      </c>
      <c r="B80" s="65">
        <v>114213</v>
      </c>
      <c r="C80" s="209">
        <f>C81+C82+C83+C84+C85+C86</f>
        <v>686750</v>
      </c>
      <c r="D80" s="209">
        <f>D81+D82+D83+D84+D85+D86</f>
        <v>1065727</v>
      </c>
      <c r="E80" s="209">
        <f>E81+E82+E83+E84+E85+E86</f>
        <v>1045421.638</v>
      </c>
      <c r="F80" s="205">
        <f t="shared" si="3"/>
        <v>-20305.361999999965</v>
      </c>
      <c r="G80" s="150">
        <f t="shared" si="4"/>
        <v>98.09469385686954</v>
      </c>
    </row>
    <row r="81" spans="1:7" ht="12.75" hidden="1">
      <c r="A81" s="67" t="s">
        <v>253</v>
      </c>
      <c r="B81" s="56">
        <v>11421310</v>
      </c>
      <c r="C81" s="208">
        <v>610750</v>
      </c>
      <c r="D81" s="208">
        <v>988982.2</v>
      </c>
      <c r="E81" s="208">
        <v>976486.801</v>
      </c>
      <c r="F81" s="203">
        <f t="shared" si="3"/>
        <v>-12495.398999999976</v>
      </c>
      <c r="G81" s="151">
        <f t="shared" si="4"/>
        <v>98.73653954540335</v>
      </c>
    </row>
    <row r="82" spans="1:7" ht="12.75" hidden="1">
      <c r="A82" s="67" t="s">
        <v>254</v>
      </c>
      <c r="B82" s="56">
        <v>11421320</v>
      </c>
      <c r="C82" s="208"/>
      <c r="D82" s="208"/>
      <c r="E82" s="208"/>
      <c r="F82" s="203">
        <f t="shared" si="3"/>
        <v>0</v>
      </c>
      <c r="G82" s="151" t="e">
        <f t="shared" si="4"/>
        <v>#DIV/0!</v>
      </c>
    </row>
    <row r="83" spans="1:7" ht="12.75" hidden="1">
      <c r="A83" s="67" t="s">
        <v>255</v>
      </c>
      <c r="B83" s="56">
        <v>11421330</v>
      </c>
      <c r="C83" s="208">
        <v>39200</v>
      </c>
      <c r="D83" s="208">
        <v>40818.6</v>
      </c>
      <c r="E83" s="208">
        <v>39059.268</v>
      </c>
      <c r="F83" s="203">
        <f t="shared" si="3"/>
        <v>-1759.3320000000022</v>
      </c>
      <c r="G83" s="151">
        <f t="shared" si="4"/>
        <v>95.68987667386925</v>
      </c>
    </row>
    <row r="84" spans="1:7" ht="12.75" hidden="1">
      <c r="A84" s="67" t="s">
        <v>256</v>
      </c>
      <c r="B84" s="56">
        <v>11421340</v>
      </c>
      <c r="C84" s="208">
        <v>36800</v>
      </c>
      <c r="D84" s="208">
        <v>35926.2</v>
      </c>
      <c r="E84" s="208">
        <v>28483.873</v>
      </c>
      <c r="F84" s="203">
        <f t="shared" si="3"/>
        <v>-7442.3269999999975</v>
      </c>
      <c r="G84" s="151">
        <f t="shared" si="4"/>
        <v>79.28440246950694</v>
      </c>
    </row>
    <row r="85" spans="1:7" ht="12.75" hidden="1">
      <c r="A85" s="67" t="s">
        <v>257</v>
      </c>
      <c r="B85" s="56">
        <v>11421350</v>
      </c>
      <c r="C85" s="208"/>
      <c r="D85" s="208"/>
      <c r="E85" s="208">
        <v>32.796</v>
      </c>
      <c r="F85" s="203">
        <f t="shared" si="3"/>
        <v>32.796</v>
      </c>
      <c r="G85" s="151" t="e">
        <f t="shared" si="4"/>
        <v>#DIV/0!</v>
      </c>
    </row>
    <row r="86" spans="1:7" ht="22.5" hidden="1">
      <c r="A86" s="67" t="s">
        <v>258</v>
      </c>
      <c r="B86" s="56">
        <v>11421360</v>
      </c>
      <c r="C86" s="208"/>
      <c r="D86" s="208"/>
      <c r="E86" s="208">
        <v>1358.9</v>
      </c>
      <c r="F86" s="203">
        <f t="shared" si="3"/>
        <v>1358.9</v>
      </c>
      <c r="G86" s="151" t="e">
        <f t="shared" si="4"/>
        <v>#DIV/0!</v>
      </c>
    </row>
    <row r="87" spans="1:7" ht="12.75" hidden="1">
      <c r="A87" s="66" t="s">
        <v>330</v>
      </c>
      <c r="B87" s="65">
        <v>114214</v>
      </c>
      <c r="C87" s="209">
        <f>C88+C89</f>
        <v>0</v>
      </c>
      <c r="D87" s="209">
        <f>D88+D89</f>
        <v>0</v>
      </c>
      <c r="E87" s="209">
        <f>E88+E89</f>
        <v>134.458</v>
      </c>
      <c r="F87" s="205">
        <f t="shared" si="3"/>
        <v>134.458</v>
      </c>
      <c r="G87" s="150" t="e">
        <f t="shared" si="4"/>
        <v>#DIV/0!</v>
      </c>
    </row>
    <row r="88" spans="1:7" ht="12.75" hidden="1">
      <c r="A88" s="67" t="s">
        <v>259</v>
      </c>
      <c r="B88" s="56">
        <v>11421410</v>
      </c>
      <c r="C88" s="202"/>
      <c r="D88" s="202"/>
      <c r="E88" s="202"/>
      <c r="F88" s="203">
        <f t="shared" si="3"/>
        <v>0</v>
      </c>
      <c r="G88" s="151" t="e">
        <f t="shared" si="4"/>
        <v>#DIV/0!</v>
      </c>
    </row>
    <row r="89" spans="1:7" ht="12.75" hidden="1">
      <c r="A89" s="67" t="s">
        <v>330</v>
      </c>
      <c r="B89" s="56">
        <v>11421420</v>
      </c>
      <c r="C89" s="208"/>
      <c r="D89" s="208"/>
      <c r="E89" s="208">
        <v>134.458</v>
      </c>
      <c r="F89" s="203">
        <f t="shared" si="3"/>
        <v>134.458</v>
      </c>
      <c r="G89" s="151" t="e">
        <f t="shared" si="4"/>
        <v>#DIV/0!</v>
      </c>
    </row>
    <row r="90" spans="1:7" ht="21">
      <c r="A90" s="66" t="s">
        <v>470</v>
      </c>
      <c r="B90" s="65">
        <v>11422</v>
      </c>
      <c r="C90" s="340">
        <f>C91+C101+C106+C113</f>
        <v>0</v>
      </c>
      <c r="D90" s="340">
        <f>D91+D101+D106+D113</f>
        <v>0</v>
      </c>
      <c r="E90" s="209">
        <f>E91+E101+E106+E113</f>
        <v>-793.6110000000001</v>
      </c>
      <c r="F90" s="205">
        <f t="shared" si="3"/>
        <v>-793.6110000000001</v>
      </c>
      <c r="G90" s="342" t="e">
        <f t="shared" si="4"/>
        <v>#DIV/0!</v>
      </c>
    </row>
    <row r="91" spans="1:7" ht="12.75" hidden="1">
      <c r="A91" s="66" t="s">
        <v>239</v>
      </c>
      <c r="B91" s="65">
        <v>114221</v>
      </c>
      <c r="C91" s="209">
        <f>C92+C93+C94+C95+C96+C97+C98+C99+C100</f>
        <v>0</v>
      </c>
      <c r="D91" s="209">
        <f>D92+D93+D94+D95+D96+D97+D98+D99+D100</f>
        <v>0</v>
      </c>
      <c r="E91" s="209">
        <f>E92+E93+E94+E95+E96+E97+E98+E99+E100</f>
        <v>345.364</v>
      </c>
      <c r="F91" s="205">
        <f t="shared" si="3"/>
        <v>345.364</v>
      </c>
      <c r="G91" s="150" t="e">
        <f t="shared" si="4"/>
        <v>#DIV/0!</v>
      </c>
    </row>
    <row r="92" spans="1:7" ht="12.75" hidden="1">
      <c r="A92" s="67" t="s">
        <v>331</v>
      </c>
      <c r="B92" s="56">
        <v>11422110</v>
      </c>
      <c r="C92" s="202"/>
      <c r="D92" s="202"/>
      <c r="E92" s="208">
        <v>0.5</v>
      </c>
      <c r="F92" s="203">
        <f t="shared" si="3"/>
        <v>0.5</v>
      </c>
      <c r="G92" s="151" t="e">
        <f t="shared" si="4"/>
        <v>#DIV/0!</v>
      </c>
    </row>
    <row r="93" spans="1:7" ht="12.75" hidden="1">
      <c r="A93" s="67" t="s">
        <v>240</v>
      </c>
      <c r="B93" s="56">
        <v>11422120</v>
      </c>
      <c r="C93" s="208"/>
      <c r="D93" s="208"/>
      <c r="E93" s="208">
        <v>1.558</v>
      </c>
      <c r="F93" s="203">
        <f t="shared" si="3"/>
        <v>1.558</v>
      </c>
      <c r="G93" s="151" t="e">
        <f t="shared" si="4"/>
        <v>#DIV/0!</v>
      </c>
    </row>
    <row r="94" spans="1:7" ht="12.75" hidden="1">
      <c r="A94" s="67" t="s">
        <v>241</v>
      </c>
      <c r="B94" s="56">
        <v>11422130</v>
      </c>
      <c r="C94" s="208"/>
      <c r="D94" s="208"/>
      <c r="E94" s="208">
        <v>57.218</v>
      </c>
      <c r="F94" s="203">
        <f t="shared" si="3"/>
        <v>57.218</v>
      </c>
      <c r="G94" s="151" t="e">
        <f t="shared" si="4"/>
        <v>#DIV/0!</v>
      </c>
    </row>
    <row r="95" spans="1:7" ht="12.75" hidden="1">
      <c r="A95" s="67" t="s">
        <v>242</v>
      </c>
      <c r="B95" s="56">
        <v>11422140</v>
      </c>
      <c r="C95" s="208"/>
      <c r="D95" s="208"/>
      <c r="E95" s="208">
        <v>290.498</v>
      </c>
      <c r="F95" s="203">
        <f t="shared" si="3"/>
        <v>290.498</v>
      </c>
      <c r="G95" s="151" t="e">
        <f t="shared" si="4"/>
        <v>#DIV/0!</v>
      </c>
    </row>
    <row r="96" spans="1:7" ht="12.75" hidden="1">
      <c r="A96" s="67" t="s">
        <v>243</v>
      </c>
      <c r="B96" s="56">
        <v>11422150</v>
      </c>
      <c r="C96" s="208"/>
      <c r="D96" s="208"/>
      <c r="E96" s="208">
        <v>-4.41</v>
      </c>
      <c r="F96" s="203">
        <f t="shared" si="3"/>
        <v>-4.41</v>
      </c>
      <c r="G96" s="151" t="e">
        <f t="shared" si="4"/>
        <v>#DIV/0!</v>
      </c>
    </row>
    <row r="97" spans="1:7" ht="12.75" hidden="1">
      <c r="A97" s="67" t="s">
        <v>329</v>
      </c>
      <c r="B97" s="56">
        <v>11422160</v>
      </c>
      <c r="C97" s="208"/>
      <c r="D97" s="208"/>
      <c r="E97" s="208"/>
      <c r="F97" s="203">
        <f t="shared" si="3"/>
        <v>0</v>
      </c>
      <c r="G97" s="151" t="e">
        <f t="shared" si="4"/>
        <v>#DIV/0!</v>
      </c>
    </row>
    <row r="98" spans="1:7" ht="12.75" hidden="1">
      <c r="A98" s="67" t="s">
        <v>244</v>
      </c>
      <c r="B98" s="56">
        <v>11422170</v>
      </c>
      <c r="C98" s="208"/>
      <c r="D98" s="208"/>
      <c r="E98" s="208"/>
      <c r="F98" s="203">
        <f t="shared" si="3"/>
        <v>0</v>
      </c>
      <c r="G98" s="151" t="e">
        <f t="shared" si="4"/>
        <v>#DIV/0!</v>
      </c>
    </row>
    <row r="99" spans="1:7" ht="12.75" hidden="1">
      <c r="A99" s="67" t="s">
        <v>245</v>
      </c>
      <c r="B99" s="56">
        <v>11422180</v>
      </c>
      <c r="C99" s="208"/>
      <c r="D99" s="208"/>
      <c r="E99" s="208"/>
      <c r="F99" s="203">
        <f t="shared" si="3"/>
        <v>0</v>
      </c>
      <c r="G99" s="151" t="e">
        <f t="shared" si="4"/>
        <v>#DIV/0!</v>
      </c>
    </row>
    <row r="100" spans="1:7" ht="12.75" hidden="1">
      <c r="A100" s="67" t="s">
        <v>246</v>
      </c>
      <c r="B100" s="56">
        <v>11422190</v>
      </c>
      <c r="C100" s="208"/>
      <c r="D100" s="208"/>
      <c r="E100" s="208"/>
      <c r="F100" s="203">
        <f t="shared" si="3"/>
        <v>0</v>
      </c>
      <c r="G100" s="151" t="e">
        <f t="shared" si="4"/>
        <v>#DIV/0!</v>
      </c>
    </row>
    <row r="101" spans="1:7" ht="12.75" hidden="1">
      <c r="A101" s="66" t="s">
        <v>247</v>
      </c>
      <c r="B101" s="65">
        <v>114222</v>
      </c>
      <c r="C101" s="209">
        <f>C102+C103+C104+C105</f>
        <v>0</v>
      </c>
      <c r="D101" s="209">
        <f>D102+D103+D104+D105</f>
        <v>0</v>
      </c>
      <c r="E101" s="209">
        <f>E102+E103+E104+E105</f>
        <v>94.553</v>
      </c>
      <c r="F101" s="205">
        <f t="shared" si="3"/>
        <v>94.553</v>
      </c>
      <c r="G101" s="150" t="e">
        <f t="shared" si="4"/>
        <v>#DIV/0!</v>
      </c>
    </row>
    <row r="102" spans="1:7" ht="12.75" hidden="1">
      <c r="A102" s="67" t="s">
        <v>248</v>
      </c>
      <c r="B102" s="56">
        <v>11422210</v>
      </c>
      <c r="C102" s="208"/>
      <c r="D102" s="208"/>
      <c r="E102" s="208">
        <v>75.25</v>
      </c>
      <c r="F102" s="203">
        <f t="shared" si="3"/>
        <v>75.25</v>
      </c>
      <c r="G102" s="151" t="e">
        <f t="shared" si="4"/>
        <v>#DIV/0!</v>
      </c>
    </row>
    <row r="103" spans="1:7" ht="12.75" hidden="1">
      <c r="A103" s="67" t="s">
        <v>249</v>
      </c>
      <c r="B103" s="56">
        <v>11422220</v>
      </c>
      <c r="C103" s="208"/>
      <c r="D103" s="208"/>
      <c r="E103" s="208">
        <v>19.303</v>
      </c>
      <c r="F103" s="203">
        <f t="shared" si="3"/>
        <v>19.303</v>
      </c>
      <c r="G103" s="151" t="e">
        <f t="shared" si="4"/>
        <v>#DIV/0!</v>
      </c>
    </row>
    <row r="104" spans="1:7" ht="12.75" hidden="1">
      <c r="A104" s="67" t="s">
        <v>250</v>
      </c>
      <c r="B104" s="56">
        <v>11422230</v>
      </c>
      <c r="C104" s="208"/>
      <c r="D104" s="208"/>
      <c r="E104" s="208"/>
      <c r="F104" s="203">
        <f t="shared" si="3"/>
        <v>0</v>
      </c>
      <c r="G104" s="151" t="e">
        <f t="shared" si="4"/>
        <v>#DIV/0!</v>
      </c>
    </row>
    <row r="105" spans="1:7" ht="12.75" hidden="1">
      <c r="A105" s="67" t="s">
        <v>251</v>
      </c>
      <c r="B105" s="56">
        <v>11422290</v>
      </c>
      <c r="C105" s="208"/>
      <c r="D105" s="208"/>
      <c r="E105" s="208"/>
      <c r="F105" s="203">
        <f t="shared" si="3"/>
        <v>0</v>
      </c>
      <c r="G105" s="151" t="e">
        <f t="shared" si="4"/>
        <v>#DIV/0!</v>
      </c>
    </row>
    <row r="106" spans="1:7" ht="12.75" hidden="1">
      <c r="A106" s="66" t="s">
        <v>252</v>
      </c>
      <c r="B106" s="65">
        <v>114223</v>
      </c>
      <c r="C106" s="209">
        <f>C107+C108+C109+C110+C111+C112</f>
        <v>0</v>
      </c>
      <c r="D106" s="209">
        <f>D107+D108+D109+D110+D111+D112</f>
        <v>0</v>
      </c>
      <c r="E106" s="209">
        <f>E107+E108+E109+E110+E111+E112</f>
        <v>-1233.528</v>
      </c>
      <c r="F106" s="205">
        <f t="shared" si="3"/>
        <v>-1233.528</v>
      </c>
      <c r="G106" s="150" t="e">
        <f t="shared" si="4"/>
        <v>#DIV/0!</v>
      </c>
    </row>
    <row r="107" spans="1:7" ht="12.75" hidden="1">
      <c r="A107" s="67" t="s">
        <v>253</v>
      </c>
      <c r="B107" s="56">
        <v>11422310</v>
      </c>
      <c r="C107" s="208"/>
      <c r="D107" s="208"/>
      <c r="E107" s="208">
        <v>-3674.4</v>
      </c>
      <c r="F107" s="203">
        <f t="shared" si="3"/>
        <v>-3674.4</v>
      </c>
      <c r="G107" s="151" t="e">
        <f t="shared" si="4"/>
        <v>#DIV/0!</v>
      </c>
    </row>
    <row r="108" spans="1:7" ht="12.75" hidden="1">
      <c r="A108" s="67" t="s">
        <v>254</v>
      </c>
      <c r="B108" s="56">
        <v>11422320</v>
      </c>
      <c r="C108" s="208"/>
      <c r="D108" s="208"/>
      <c r="E108" s="208"/>
      <c r="F108" s="203">
        <f t="shared" si="3"/>
        <v>0</v>
      </c>
      <c r="G108" s="151" t="e">
        <f t="shared" si="4"/>
        <v>#DIV/0!</v>
      </c>
    </row>
    <row r="109" spans="1:7" ht="12.75" hidden="1">
      <c r="A109" s="67" t="s">
        <v>255</v>
      </c>
      <c r="B109" s="56">
        <v>11422330</v>
      </c>
      <c r="C109" s="208"/>
      <c r="D109" s="208"/>
      <c r="E109" s="208">
        <v>756.851</v>
      </c>
      <c r="F109" s="203">
        <f t="shared" si="3"/>
        <v>756.851</v>
      </c>
      <c r="G109" s="151" t="e">
        <f t="shared" si="4"/>
        <v>#DIV/0!</v>
      </c>
    </row>
    <row r="110" spans="1:7" ht="12.75" hidden="1">
      <c r="A110" s="67" t="s">
        <v>256</v>
      </c>
      <c r="B110" s="56">
        <v>11422340</v>
      </c>
      <c r="C110" s="208"/>
      <c r="D110" s="208"/>
      <c r="E110" s="208"/>
      <c r="F110" s="203">
        <f t="shared" si="3"/>
        <v>0</v>
      </c>
      <c r="G110" s="151" t="e">
        <f t="shared" si="4"/>
        <v>#DIV/0!</v>
      </c>
    </row>
    <row r="111" spans="1:7" ht="12.75" hidden="1">
      <c r="A111" s="67" t="s">
        <v>257</v>
      </c>
      <c r="B111" s="56">
        <v>11422350</v>
      </c>
      <c r="C111" s="208"/>
      <c r="D111" s="208"/>
      <c r="E111" s="208">
        <v>1684.021</v>
      </c>
      <c r="F111" s="203">
        <f t="shared" si="3"/>
        <v>1684.021</v>
      </c>
      <c r="G111" s="151" t="e">
        <f t="shared" si="4"/>
        <v>#DIV/0!</v>
      </c>
    </row>
    <row r="112" spans="1:7" ht="22.5" hidden="1">
      <c r="A112" s="67" t="s">
        <v>258</v>
      </c>
      <c r="B112" s="56">
        <v>11422360</v>
      </c>
      <c r="C112" s="208"/>
      <c r="D112" s="208"/>
      <c r="E112" s="208"/>
      <c r="F112" s="203">
        <f t="shared" si="3"/>
        <v>0</v>
      </c>
      <c r="G112" s="151" t="e">
        <f t="shared" si="4"/>
        <v>#DIV/0!</v>
      </c>
    </row>
    <row r="113" spans="1:7" ht="12.75" hidden="1">
      <c r="A113" s="66" t="s">
        <v>330</v>
      </c>
      <c r="B113" s="65">
        <v>114224</v>
      </c>
      <c r="C113" s="209">
        <f>C114</f>
        <v>0</v>
      </c>
      <c r="D113" s="209">
        <f>D114</f>
        <v>0</v>
      </c>
      <c r="E113" s="209">
        <f>E114</f>
        <v>0</v>
      </c>
      <c r="F113" s="205">
        <f t="shared" si="3"/>
        <v>0</v>
      </c>
      <c r="G113" s="150" t="e">
        <f t="shared" si="4"/>
        <v>#DIV/0!</v>
      </c>
    </row>
    <row r="114" spans="1:7" ht="12.75" hidden="1">
      <c r="A114" s="67" t="s">
        <v>330</v>
      </c>
      <c r="B114" s="56">
        <v>11422410</v>
      </c>
      <c r="C114" s="208"/>
      <c r="D114" s="208"/>
      <c r="E114" s="208"/>
      <c r="F114" s="203">
        <f t="shared" si="3"/>
        <v>0</v>
      </c>
      <c r="G114" s="151" t="e">
        <f t="shared" si="4"/>
        <v>#DIV/0!</v>
      </c>
    </row>
    <row r="115" spans="1:7" ht="21">
      <c r="A115" s="66" t="s">
        <v>471</v>
      </c>
      <c r="B115" s="65">
        <v>11423</v>
      </c>
      <c r="C115" s="209">
        <f>C116</f>
        <v>7308300</v>
      </c>
      <c r="D115" s="209">
        <f>D116</f>
        <v>7308300</v>
      </c>
      <c r="E115" s="209">
        <f>E116</f>
        <v>7485585.401</v>
      </c>
      <c r="F115" s="205">
        <f t="shared" si="3"/>
        <v>177285.4009999996</v>
      </c>
      <c r="G115" s="150">
        <f t="shared" si="4"/>
        <v>102.42580902535472</v>
      </c>
    </row>
    <row r="116" spans="1:7" ht="22.5" hidden="1">
      <c r="A116" s="67" t="s">
        <v>471</v>
      </c>
      <c r="B116" s="56">
        <v>11423100</v>
      </c>
      <c r="C116" s="208">
        <v>7308300</v>
      </c>
      <c r="D116" s="208">
        <v>7308300</v>
      </c>
      <c r="E116" s="208">
        <v>7485585.401</v>
      </c>
      <c r="F116" s="203">
        <f t="shared" si="3"/>
        <v>177285.4009999996</v>
      </c>
      <c r="G116" s="151">
        <f t="shared" si="4"/>
        <v>102.42580902535472</v>
      </c>
    </row>
    <row r="117" spans="1:7" ht="21">
      <c r="A117" s="66" t="s">
        <v>472</v>
      </c>
      <c r="B117" s="65">
        <v>11424</v>
      </c>
      <c r="C117" s="209">
        <f>C118</f>
        <v>150200</v>
      </c>
      <c r="D117" s="209">
        <f>D118</f>
        <v>210200</v>
      </c>
      <c r="E117" s="209">
        <f>E118</f>
        <v>259131.794</v>
      </c>
      <c r="F117" s="205">
        <f t="shared" si="3"/>
        <v>48931.793999999994</v>
      </c>
      <c r="G117" s="150">
        <f t="shared" si="4"/>
        <v>123.27868411037106</v>
      </c>
    </row>
    <row r="118" spans="1:7" ht="22.5" hidden="1">
      <c r="A118" s="67" t="s">
        <v>472</v>
      </c>
      <c r="B118" s="56">
        <v>11424100</v>
      </c>
      <c r="C118" s="208">
        <v>150200</v>
      </c>
      <c r="D118" s="208">
        <v>210200</v>
      </c>
      <c r="E118" s="208">
        <v>259131.794</v>
      </c>
      <c r="F118" s="203">
        <f t="shared" si="3"/>
        <v>48931.793999999994</v>
      </c>
      <c r="G118" s="151">
        <f t="shared" si="4"/>
        <v>123.27868411037106</v>
      </c>
    </row>
    <row r="119" spans="1:7" ht="12.75">
      <c r="A119" s="66" t="s">
        <v>332</v>
      </c>
      <c r="B119" s="65">
        <v>1144</v>
      </c>
      <c r="C119" s="206">
        <f>C120+C144</f>
        <v>682120</v>
      </c>
      <c r="D119" s="206">
        <f>D120+D144</f>
        <v>1023269.6</v>
      </c>
      <c r="E119" s="206">
        <f>E120+E144</f>
        <v>1036320.615</v>
      </c>
      <c r="F119" s="205">
        <f t="shared" si="3"/>
        <v>13051.015000000014</v>
      </c>
      <c r="G119" s="150">
        <f t="shared" si="4"/>
        <v>101.2754229188476</v>
      </c>
    </row>
    <row r="120" spans="1:7" ht="12.75">
      <c r="A120" s="66" t="s">
        <v>260</v>
      </c>
      <c r="B120" s="65">
        <v>11441</v>
      </c>
      <c r="C120" s="340">
        <f>C121+C126+C132+C139</f>
        <v>0</v>
      </c>
      <c r="D120" s="209">
        <v>250000</v>
      </c>
      <c r="E120" s="209">
        <f>E121+E126+E132+E139</f>
        <v>219536.83800000002</v>
      </c>
      <c r="F120" s="205">
        <f t="shared" si="3"/>
        <v>-30463.161999999982</v>
      </c>
      <c r="G120" s="150">
        <f t="shared" si="4"/>
        <v>87.8147352</v>
      </c>
    </row>
    <row r="121" spans="1:7" ht="12.75" hidden="1">
      <c r="A121" s="66" t="s">
        <v>261</v>
      </c>
      <c r="B121" s="65">
        <v>114411</v>
      </c>
      <c r="C121" s="209">
        <f>C122+C123+C124+C125</f>
        <v>0</v>
      </c>
      <c r="D121" s="209">
        <f>D122+D123+D124+D125</f>
        <v>0</v>
      </c>
      <c r="E121" s="209">
        <f>E122+E123+E124+E125</f>
        <v>25254.478</v>
      </c>
      <c r="F121" s="205">
        <f t="shared" si="3"/>
        <v>25254.478</v>
      </c>
      <c r="G121" s="150" t="e">
        <f t="shared" si="4"/>
        <v>#DIV/0!</v>
      </c>
    </row>
    <row r="122" spans="1:7" ht="12.75" hidden="1">
      <c r="A122" s="67" t="s">
        <v>262</v>
      </c>
      <c r="B122" s="56">
        <v>11441110</v>
      </c>
      <c r="C122" s="208"/>
      <c r="D122" s="208"/>
      <c r="E122" s="208">
        <v>16884.073</v>
      </c>
      <c r="F122" s="203">
        <f t="shared" si="3"/>
        <v>16884.073</v>
      </c>
      <c r="G122" s="151" t="e">
        <f t="shared" si="4"/>
        <v>#DIV/0!</v>
      </c>
    </row>
    <row r="123" spans="1:7" ht="12.75" hidden="1">
      <c r="A123" s="67" t="s">
        <v>263</v>
      </c>
      <c r="B123" s="56">
        <v>11441120</v>
      </c>
      <c r="C123" s="208"/>
      <c r="D123" s="208"/>
      <c r="E123" s="208"/>
      <c r="F123" s="203">
        <f t="shared" si="3"/>
        <v>0</v>
      </c>
      <c r="G123" s="151" t="e">
        <f t="shared" si="4"/>
        <v>#DIV/0!</v>
      </c>
    </row>
    <row r="124" spans="1:7" ht="12.75" hidden="1">
      <c r="A124" s="67" t="s">
        <v>264</v>
      </c>
      <c r="B124" s="56">
        <v>11441130</v>
      </c>
      <c r="C124" s="208"/>
      <c r="D124" s="208"/>
      <c r="E124" s="208">
        <v>8252.752</v>
      </c>
      <c r="F124" s="203">
        <f t="shared" si="3"/>
        <v>8252.752</v>
      </c>
      <c r="G124" s="151" t="e">
        <f t="shared" si="4"/>
        <v>#DIV/0!</v>
      </c>
    </row>
    <row r="125" spans="1:7" ht="12.75" hidden="1">
      <c r="A125" s="67" t="s">
        <v>265</v>
      </c>
      <c r="B125" s="56">
        <v>11441190</v>
      </c>
      <c r="C125" s="208"/>
      <c r="D125" s="208"/>
      <c r="E125" s="208">
        <v>117.653</v>
      </c>
      <c r="F125" s="203">
        <f t="shared" si="3"/>
        <v>117.653</v>
      </c>
      <c r="G125" s="151" t="e">
        <f t="shared" si="4"/>
        <v>#DIV/0!</v>
      </c>
    </row>
    <row r="126" spans="1:7" ht="12.75" hidden="1">
      <c r="A126" s="66" t="s">
        <v>266</v>
      </c>
      <c r="B126" s="65">
        <v>114412</v>
      </c>
      <c r="C126" s="209">
        <f>C127+C128+C129+C130+C131</f>
        <v>0</v>
      </c>
      <c r="D126" s="209">
        <f>D127+D128+D129+D130+D131</f>
        <v>0</v>
      </c>
      <c r="E126" s="209">
        <f>E127+E128+E129+E130+E131</f>
        <v>152733.04600000003</v>
      </c>
      <c r="F126" s="205">
        <f t="shared" si="3"/>
        <v>152733.04600000003</v>
      </c>
      <c r="G126" s="150" t="e">
        <f t="shared" si="4"/>
        <v>#DIV/0!</v>
      </c>
    </row>
    <row r="127" spans="1:7" ht="12.75" hidden="1">
      <c r="A127" s="67" t="s">
        <v>267</v>
      </c>
      <c r="B127" s="56">
        <v>11441210</v>
      </c>
      <c r="C127" s="208"/>
      <c r="D127" s="208"/>
      <c r="E127" s="208">
        <v>147536.059</v>
      </c>
      <c r="F127" s="203">
        <f t="shared" si="3"/>
        <v>147536.059</v>
      </c>
      <c r="G127" s="151" t="e">
        <f t="shared" si="4"/>
        <v>#DIV/0!</v>
      </c>
    </row>
    <row r="128" spans="1:7" ht="12.75" hidden="1">
      <c r="A128" s="67" t="s">
        <v>268</v>
      </c>
      <c r="B128" s="56">
        <v>11441220</v>
      </c>
      <c r="C128" s="208"/>
      <c r="D128" s="208"/>
      <c r="E128" s="208">
        <v>19.798</v>
      </c>
      <c r="F128" s="203">
        <f t="shared" si="3"/>
        <v>19.798</v>
      </c>
      <c r="G128" s="151" t="e">
        <f t="shared" si="4"/>
        <v>#DIV/0!</v>
      </c>
    </row>
    <row r="129" spans="1:7" ht="12.75" hidden="1">
      <c r="A129" s="67" t="s">
        <v>269</v>
      </c>
      <c r="B129" s="56">
        <v>11441230</v>
      </c>
      <c r="C129" s="208"/>
      <c r="D129" s="208"/>
      <c r="E129" s="208">
        <v>10.337</v>
      </c>
      <c r="F129" s="203">
        <f t="shared" si="3"/>
        <v>10.337</v>
      </c>
      <c r="G129" s="151" t="e">
        <f t="shared" si="4"/>
        <v>#DIV/0!</v>
      </c>
    </row>
    <row r="130" spans="1:7" ht="12.75" hidden="1">
      <c r="A130" s="67" t="s">
        <v>270</v>
      </c>
      <c r="B130" s="56">
        <v>11441240</v>
      </c>
      <c r="C130" s="208"/>
      <c r="D130" s="208"/>
      <c r="E130" s="208"/>
      <c r="F130" s="203">
        <f t="shared" si="3"/>
        <v>0</v>
      </c>
      <c r="G130" s="151" t="e">
        <f t="shared" si="4"/>
        <v>#DIV/0!</v>
      </c>
    </row>
    <row r="131" spans="1:7" ht="12.75" hidden="1">
      <c r="A131" s="67" t="s">
        <v>271</v>
      </c>
      <c r="B131" s="56">
        <v>11441290</v>
      </c>
      <c r="C131" s="208"/>
      <c r="D131" s="208"/>
      <c r="E131" s="208">
        <v>5166.852</v>
      </c>
      <c r="F131" s="203">
        <f t="shared" si="3"/>
        <v>5166.852</v>
      </c>
      <c r="G131" s="151" t="e">
        <f t="shared" si="4"/>
        <v>#DIV/0!</v>
      </c>
    </row>
    <row r="132" spans="1:7" ht="12.75" hidden="1">
      <c r="A132" s="66" t="s">
        <v>272</v>
      </c>
      <c r="B132" s="65">
        <v>114413</v>
      </c>
      <c r="C132" s="209">
        <f>C133+C134+C135+C136+C137+C138</f>
        <v>0</v>
      </c>
      <c r="D132" s="209">
        <f>D133+D134+D135+D136+D137+D138</f>
        <v>0</v>
      </c>
      <c r="E132" s="209">
        <f>E133+E134+E135+E136+E137+E138</f>
        <v>34263.121</v>
      </c>
      <c r="F132" s="205">
        <f t="shared" si="3"/>
        <v>34263.121</v>
      </c>
      <c r="G132" s="150" t="e">
        <f t="shared" si="4"/>
        <v>#DIV/0!</v>
      </c>
    </row>
    <row r="133" spans="1:7" ht="12.75" hidden="1">
      <c r="A133" s="67" t="s">
        <v>273</v>
      </c>
      <c r="B133" s="56">
        <v>11441310</v>
      </c>
      <c r="C133" s="208"/>
      <c r="D133" s="208"/>
      <c r="E133" s="208">
        <v>11980.519</v>
      </c>
      <c r="F133" s="203">
        <f t="shared" si="3"/>
        <v>11980.519</v>
      </c>
      <c r="G133" s="151" t="e">
        <f t="shared" si="4"/>
        <v>#DIV/0!</v>
      </c>
    </row>
    <row r="134" spans="1:7" ht="12.75" hidden="1">
      <c r="A134" s="67" t="s">
        <v>333</v>
      </c>
      <c r="B134" s="56">
        <v>11441320</v>
      </c>
      <c r="C134" s="208"/>
      <c r="D134" s="208"/>
      <c r="E134" s="208">
        <v>4487.732</v>
      </c>
      <c r="F134" s="203">
        <f t="shared" si="3"/>
        <v>4487.732</v>
      </c>
      <c r="G134" s="151" t="e">
        <f t="shared" si="4"/>
        <v>#DIV/0!</v>
      </c>
    </row>
    <row r="135" spans="1:7" ht="12.75" hidden="1">
      <c r="A135" s="67" t="s">
        <v>334</v>
      </c>
      <c r="B135" s="56">
        <v>11441330</v>
      </c>
      <c r="C135" s="208"/>
      <c r="D135" s="208"/>
      <c r="E135" s="208">
        <v>311.87</v>
      </c>
      <c r="F135" s="203">
        <f t="shared" si="3"/>
        <v>311.87</v>
      </c>
      <c r="G135" s="151" t="e">
        <f t="shared" si="4"/>
        <v>#DIV/0!</v>
      </c>
    </row>
    <row r="136" spans="1:7" ht="12.75" hidden="1">
      <c r="A136" s="67" t="s">
        <v>274</v>
      </c>
      <c r="B136" s="56">
        <v>11441340</v>
      </c>
      <c r="C136" s="208"/>
      <c r="D136" s="208"/>
      <c r="E136" s="208">
        <v>5557.521</v>
      </c>
      <c r="F136" s="203">
        <f aca="true" t="shared" si="5" ref="F136:F199">E136-D136</f>
        <v>5557.521</v>
      </c>
      <c r="G136" s="151" t="e">
        <f aca="true" t="shared" si="6" ref="G136:G199">E136/D136*100</f>
        <v>#DIV/0!</v>
      </c>
    </row>
    <row r="137" spans="1:7" ht="12.75" hidden="1">
      <c r="A137" s="67" t="s">
        <v>275</v>
      </c>
      <c r="B137" s="56">
        <v>11441350</v>
      </c>
      <c r="C137" s="208"/>
      <c r="D137" s="208"/>
      <c r="E137" s="208">
        <v>191.984</v>
      </c>
      <c r="F137" s="203">
        <f t="shared" si="5"/>
        <v>191.984</v>
      </c>
      <c r="G137" s="151" t="e">
        <f t="shared" si="6"/>
        <v>#DIV/0!</v>
      </c>
    </row>
    <row r="138" spans="1:7" ht="12.75" hidden="1">
      <c r="A138" s="67" t="s">
        <v>276</v>
      </c>
      <c r="B138" s="56">
        <v>11441390</v>
      </c>
      <c r="C138" s="208"/>
      <c r="D138" s="208"/>
      <c r="E138" s="208">
        <v>11733.495</v>
      </c>
      <c r="F138" s="203">
        <f t="shared" si="5"/>
        <v>11733.495</v>
      </c>
      <c r="G138" s="151" t="e">
        <f t="shared" si="6"/>
        <v>#DIV/0!</v>
      </c>
    </row>
    <row r="139" spans="1:7" ht="12.75" hidden="1">
      <c r="A139" s="66" t="s">
        <v>277</v>
      </c>
      <c r="B139" s="65">
        <v>114414</v>
      </c>
      <c r="C139" s="209">
        <f>C140+C141+C142+C143</f>
        <v>0</v>
      </c>
      <c r="D139" s="209">
        <f>D140+D141+D142+D143</f>
        <v>0</v>
      </c>
      <c r="E139" s="209">
        <f>E140+E141+E142+E143</f>
        <v>7286.192999999999</v>
      </c>
      <c r="F139" s="205">
        <f t="shared" si="5"/>
        <v>7286.192999999999</v>
      </c>
      <c r="G139" s="150" t="e">
        <f t="shared" si="6"/>
        <v>#DIV/0!</v>
      </c>
    </row>
    <row r="140" spans="1:7" ht="12.75" hidden="1">
      <c r="A140" s="67" t="s">
        <v>335</v>
      </c>
      <c r="B140" s="56">
        <v>11441410</v>
      </c>
      <c r="C140" s="208"/>
      <c r="D140" s="208"/>
      <c r="E140" s="208">
        <v>845.362</v>
      </c>
      <c r="F140" s="203">
        <f t="shared" si="5"/>
        <v>845.362</v>
      </c>
      <c r="G140" s="151" t="e">
        <f t="shared" si="6"/>
        <v>#DIV/0!</v>
      </c>
    </row>
    <row r="141" spans="1:7" ht="12.75" hidden="1">
      <c r="A141" s="67" t="s">
        <v>336</v>
      </c>
      <c r="B141" s="56">
        <v>11441420</v>
      </c>
      <c r="C141" s="208"/>
      <c r="D141" s="208"/>
      <c r="E141" s="208">
        <v>956.188</v>
      </c>
      <c r="F141" s="203">
        <f t="shared" si="5"/>
        <v>956.188</v>
      </c>
      <c r="G141" s="151" t="e">
        <f t="shared" si="6"/>
        <v>#DIV/0!</v>
      </c>
    </row>
    <row r="142" spans="1:7" ht="12.75" hidden="1">
      <c r="A142" s="67" t="s">
        <v>337</v>
      </c>
      <c r="B142" s="56">
        <v>11441430</v>
      </c>
      <c r="C142" s="208"/>
      <c r="D142" s="208"/>
      <c r="E142" s="208">
        <v>6.225</v>
      </c>
      <c r="F142" s="203">
        <f t="shared" si="5"/>
        <v>6.225</v>
      </c>
      <c r="G142" s="151" t="e">
        <f t="shared" si="6"/>
        <v>#DIV/0!</v>
      </c>
    </row>
    <row r="143" spans="1:7" ht="12.75" hidden="1">
      <c r="A143" s="67" t="s">
        <v>338</v>
      </c>
      <c r="B143" s="56">
        <v>11441440</v>
      </c>
      <c r="C143" s="208"/>
      <c r="D143" s="208"/>
      <c r="E143" s="208">
        <v>5478.418</v>
      </c>
      <c r="F143" s="203">
        <f t="shared" si="5"/>
        <v>5478.418</v>
      </c>
      <c r="G143" s="151" t="e">
        <f t="shared" si="6"/>
        <v>#DIV/0!</v>
      </c>
    </row>
    <row r="144" spans="1:7" ht="12.75">
      <c r="A144" s="66" t="s">
        <v>279</v>
      </c>
      <c r="B144" s="65">
        <v>11442</v>
      </c>
      <c r="C144" s="209">
        <v>682120</v>
      </c>
      <c r="D144" s="209">
        <v>773269.6</v>
      </c>
      <c r="E144" s="209">
        <f>E145+E150+E156+E163</f>
        <v>816783.777</v>
      </c>
      <c r="F144" s="205">
        <f t="shared" si="5"/>
        <v>43514.177000000025</v>
      </c>
      <c r="G144" s="150">
        <f t="shared" si="6"/>
        <v>105.62729699964927</v>
      </c>
    </row>
    <row r="145" spans="1:7" ht="12.75" hidden="1">
      <c r="A145" s="66" t="s">
        <v>280</v>
      </c>
      <c r="B145" s="65">
        <v>114421</v>
      </c>
      <c r="C145" s="209">
        <f>C146+C147+C148+C149</f>
        <v>0</v>
      </c>
      <c r="D145" s="209">
        <f>D146+D147+D148+D149</f>
        <v>0</v>
      </c>
      <c r="E145" s="209">
        <f>E146+E147+E148+E149</f>
        <v>102879.866</v>
      </c>
      <c r="F145" s="205">
        <f t="shared" si="5"/>
        <v>102879.866</v>
      </c>
      <c r="G145" s="150" t="e">
        <f t="shared" si="6"/>
        <v>#DIV/0!</v>
      </c>
    </row>
    <row r="146" spans="1:7" ht="12.75" hidden="1">
      <c r="A146" s="67" t="s">
        <v>262</v>
      </c>
      <c r="B146" s="56">
        <v>11442110</v>
      </c>
      <c r="C146" s="208"/>
      <c r="D146" s="208"/>
      <c r="E146" s="208">
        <v>86497.037</v>
      </c>
      <c r="F146" s="203">
        <f t="shared" si="5"/>
        <v>86497.037</v>
      </c>
      <c r="G146" s="151" t="e">
        <f t="shared" si="6"/>
        <v>#DIV/0!</v>
      </c>
    </row>
    <row r="147" spans="1:7" ht="12.75" hidden="1">
      <c r="A147" s="67" t="s">
        <v>263</v>
      </c>
      <c r="B147" s="56">
        <v>11442120</v>
      </c>
      <c r="C147" s="208"/>
      <c r="D147" s="208"/>
      <c r="E147" s="208"/>
      <c r="F147" s="203">
        <f t="shared" si="5"/>
        <v>0</v>
      </c>
      <c r="G147" s="151" t="e">
        <f t="shared" si="6"/>
        <v>#DIV/0!</v>
      </c>
    </row>
    <row r="148" spans="1:7" ht="12.75" hidden="1">
      <c r="A148" s="67" t="s">
        <v>264</v>
      </c>
      <c r="B148" s="56">
        <v>11442130</v>
      </c>
      <c r="C148" s="208"/>
      <c r="D148" s="208"/>
      <c r="E148" s="208">
        <v>15636.391</v>
      </c>
      <c r="F148" s="203">
        <f t="shared" si="5"/>
        <v>15636.391</v>
      </c>
      <c r="G148" s="151" t="e">
        <f t="shared" si="6"/>
        <v>#DIV/0!</v>
      </c>
    </row>
    <row r="149" spans="1:7" ht="12.75" hidden="1">
      <c r="A149" s="67" t="s">
        <v>265</v>
      </c>
      <c r="B149" s="56">
        <v>11442190</v>
      </c>
      <c r="C149" s="208"/>
      <c r="D149" s="208"/>
      <c r="E149" s="208">
        <v>746.438</v>
      </c>
      <c r="F149" s="203">
        <f t="shared" si="5"/>
        <v>746.438</v>
      </c>
      <c r="G149" s="151" t="e">
        <f t="shared" si="6"/>
        <v>#DIV/0!</v>
      </c>
    </row>
    <row r="150" spans="1:7" ht="12.75" hidden="1">
      <c r="A150" s="66" t="s">
        <v>266</v>
      </c>
      <c r="B150" s="65">
        <v>114422</v>
      </c>
      <c r="C150" s="209">
        <f>C151+C152+C153+C154+C155</f>
        <v>0</v>
      </c>
      <c r="D150" s="209">
        <f>D151+D152+D153+D154+D155</f>
        <v>0</v>
      </c>
      <c r="E150" s="209">
        <f>E151+E152+E153+E154+E155</f>
        <v>627735.2429999999</v>
      </c>
      <c r="F150" s="205">
        <f t="shared" si="5"/>
        <v>627735.2429999999</v>
      </c>
      <c r="G150" s="150" t="e">
        <f t="shared" si="6"/>
        <v>#DIV/0!</v>
      </c>
    </row>
    <row r="151" spans="1:7" ht="12.75" hidden="1">
      <c r="A151" s="67" t="s">
        <v>267</v>
      </c>
      <c r="B151" s="56">
        <v>11442210</v>
      </c>
      <c r="C151" s="208"/>
      <c r="D151" s="208"/>
      <c r="E151" s="208">
        <v>582694.516</v>
      </c>
      <c r="F151" s="203">
        <f t="shared" si="5"/>
        <v>582694.516</v>
      </c>
      <c r="G151" s="151" t="e">
        <f t="shared" si="6"/>
        <v>#DIV/0!</v>
      </c>
    </row>
    <row r="152" spans="1:7" ht="12.75" hidden="1">
      <c r="A152" s="67" t="s">
        <v>268</v>
      </c>
      <c r="B152" s="56">
        <v>11442220</v>
      </c>
      <c r="C152" s="208"/>
      <c r="D152" s="208"/>
      <c r="E152" s="208">
        <v>1468.416</v>
      </c>
      <c r="F152" s="203">
        <f t="shared" si="5"/>
        <v>1468.416</v>
      </c>
      <c r="G152" s="151" t="e">
        <f t="shared" si="6"/>
        <v>#DIV/0!</v>
      </c>
    </row>
    <row r="153" spans="1:7" ht="12.75" hidden="1">
      <c r="A153" s="67" t="s">
        <v>269</v>
      </c>
      <c r="B153" s="56">
        <v>11442230</v>
      </c>
      <c r="C153" s="208"/>
      <c r="D153" s="208"/>
      <c r="E153" s="208">
        <v>164.855</v>
      </c>
      <c r="F153" s="203">
        <f t="shared" si="5"/>
        <v>164.855</v>
      </c>
      <c r="G153" s="151" t="e">
        <f t="shared" si="6"/>
        <v>#DIV/0!</v>
      </c>
    </row>
    <row r="154" spans="1:7" ht="12.75" hidden="1">
      <c r="A154" s="67" t="s">
        <v>270</v>
      </c>
      <c r="B154" s="56">
        <v>11442240</v>
      </c>
      <c r="C154" s="208"/>
      <c r="D154" s="208"/>
      <c r="E154" s="208"/>
      <c r="F154" s="203">
        <f t="shared" si="5"/>
        <v>0</v>
      </c>
      <c r="G154" s="151" t="e">
        <f t="shared" si="6"/>
        <v>#DIV/0!</v>
      </c>
    </row>
    <row r="155" spans="1:7" ht="12.75" hidden="1">
      <c r="A155" s="67" t="s">
        <v>271</v>
      </c>
      <c r="B155" s="56">
        <v>11442290</v>
      </c>
      <c r="C155" s="208"/>
      <c r="D155" s="208"/>
      <c r="E155" s="208">
        <v>43407.456</v>
      </c>
      <c r="F155" s="203">
        <f t="shared" si="5"/>
        <v>43407.456</v>
      </c>
      <c r="G155" s="151" t="e">
        <f t="shared" si="6"/>
        <v>#DIV/0!</v>
      </c>
    </row>
    <row r="156" spans="1:7" ht="12.75" hidden="1">
      <c r="A156" s="66" t="s">
        <v>272</v>
      </c>
      <c r="B156" s="65">
        <v>114423</v>
      </c>
      <c r="C156" s="209">
        <f>C157+C158+C159+C160+C161+C162</f>
        <v>0</v>
      </c>
      <c r="D156" s="209">
        <f>D157+D158+D159+D160+D161+D162</f>
        <v>0</v>
      </c>
      <c r="E156" s="209">
        <f>E157+E158+E159+E160+E161+E162</f>
        <v>57264.974</v>
      </c>
      <c r="F156" s="205">
        <f t="shared" si="5"/>
        <v>57264.974</v>
      </c>
      <c r="G156" s="150" t="e">
        <f t="shared" si="6"/>
        <v>#DIV/0!</v>
      </c>
    </row>
    <row r="157" spans="1:7" ht="12.75" hidden="1">
      <c r="A157" s="67" t="s">
        <v>273</v>
      </c>
      <c r="B157" s="56">
        <v>11442310</v>
      </c>
      <c r="C157" s="208"/>
      <c r="D157" s="208"/>
      <c r="E157" s="208">
        <v>3178.983</v>
      </c>
      <c r="F157" s="203">
        <f t="shared" si="5"/>
        <v>3178.983</v>
      </c>
      <c r="G157" s="151" t="e">
        <f t="shared" si="6"/>
        <v>#DIV/0!</v>
      </c>
    </row>
    <row r="158" spans="1:7" ht="12.75" hidden="1">
      <c r="A158" s="67" t="s">
        <v>339</v>
      </c>
      <c r="B158" s="56">
        <v>11442320</v>
      </c>
      <c r="C158" s="208"/>
      <c r="D158" s="208"/>
      <c r="E158" s="208">
        <v>5330.911</v>
      </c>
      <c r="F158" s="203">
        <f t="shared" si="5"/>
        <v>5330.911</v>
      </c>
      <c r="G158" s="151" t="e">
        <f t="shared" si="6"/>
        <v>#DIV/0!</v>
      </c>
    </row>
    <row r="159" spans="1:7" ht="12.75" hidden="1">
      <c r="A159" s="67" t="s">
        <v>334</v>
      </c>
      <c r="B159" s="56">
        <v>11442330</v>
      </c>
      <c r="C159" s="208"/>
      <c r="D159" s="208"/>
      <c r="E159" s="208">
        <v>759.494</v>
      </c>
      <c r="F159" s="203">
        <f t="shared" si="5"/>
        <v>759.494</v>
      </c>
      <c r="G159" s="151" t="e">
        <f t="shared" si="6"/>
        <v>#DIV/0!</v>
      </c>
    </row>
    <row r="160" spans="1:7" ht="12.75" hidden="1">
      <c r="A160" s="67" t="s">
        <v>274</v>
      </c>
      <c r="B160" s="56">
        <v>11442340</v>
      </c>
      <c r="C160" s="208"/>
      <c r="D160" s="208"/>
      <c r="E160" s="208">
        <v>4435.997</v>
      </c>
      <c r="F160" s="203">
        <f t="shared" si="5"/>
        <v>4435.997</v>
      </c>
      <c r="G160" s="151" t="e">
        <f t="shared" si="6"/>
        <v>#DIV/0!</v>
      </c>
    </row>
    <row r="161" spans="1:7" ht="12.75" hidden="1">
      <c r="A161" s="67" t="s">
        <v>275</v>
      </c>
      <c r="B161" s="56">
        <v>11442350</v>
      </c>
      <c r="C161" s="208"/>
      <c r="D161" s="208"/>
      <c r="E161" s="208"/>
      <c r="F161" s="203">
        <f t="shared" si="5"/>
        <v>0</v>
      </c>
      <c r="G161" s="151" t="e">
        <f t="shared" si="6"/>
        <v>#DIV/0!</v>
      </c>
    </row>
    <row r="162" spans="1:7" ht="12.75" hidden="1">
      <c r="A162" s="67" t="s">
        <v>276</v>
      </c>
      <c r="B162" s="56">
        <v>11442390</v>
      </c>
      <c r="C162" s="208"/>
      <c r="D162" s="208"/>
      <c r="E162" s="208">
        <v>43559.589</v>
      </c>
      <c r="F162" s="203">
        <f t="shared" si="5"/>
        <v>43559.589</v>
      </c>
      <c r="G162" s="151" t="e">
        <f t="shared" si="6"/>
        <v>#DIV/0!</v>
      </c>
    </row>
    <row r="163" spans="1:7" ht="12.75" hidden="1">
      <c r="A163" s="66" t="s">
        <v>277</v>
      </c>
      <c r="B163" s="65">
        <v>114424</v>
      </c>
      <c r="C163" s="209">
        <f>C164+C165+C166+C167+C168</f>
        <v>0</v>
      </c>
      <c r="D163" s="209">
        <f>D164+D165+D166+D167+D168</f>
        <v>0</v>
      </c>
      <c r="E163" s="209">
        <f>E164+E165+E166+E167+E168</f>
        <v>28903.694000000003</v>
      </c>
      <c r="F163" s="205">
        <f t="shared" si="5"/>
        <v>28903.694000000003</v>
      </c>
      <c r="G163" s="150" t="e">
        <f t="shared" si="6"/>
        <v>#DIV/0!</v>
      </c>
    </row>
    <row r="164" spans="1:7" ht="12.75" hidden="1">
      <c r="A164" s="67" t="s">
        <v>335</v>
      </c>
      <c r="B164" s="56">
        <v>11442410</v>
      </c>
      <c r="C164" s="208"/>
      <c r="D164" s="208"/>
      <c r="E164" s="208">
        <v>5213.491</v>
      </c>
      <c r="F164" s="203">
        <f t="shared" si="5"/>
        <v>5213.491</v>
      </c>
      <c r="G164" s="151" t="e">
        <f t="shared" si="6"/>
        <v>#DIV/0!</v>
      </c>
    </row>
    <row r="165" spans="1:7" ht="12.75" hidden="1">
      <c r="A165" s="67" t="s">
        <v>336</v>
      </c>
      <c r="B165" s="56">
        <v>11442420</v>
      </c>
      <c r="C165" s="208"/>
      <c r="D165" s="208"/>
      <c r="E165" s="208">
        <v>141.876</v>
      </c>
      <c r="F165" s="203">
        <f t="shared" si="5"/>
        <v>141.876</v>
      </c>
      <c r="G165" s="151" t="e">
        <f t="shared" si="6"/>
        <v>#DIV/0!</v>
      </c>
    </row>
    <row r="166" spans="1:7" ht="12.75" hidden="1">
      <c r="A166" s="67" t="s">
        <v>337</v>
      </c>
      <c r="B166" s="56">
        <v>11442430</v>
      </c>
      <c r="C166" s="208"/>
      <c r="D166" s="208"/>
      <c r="E166" s="208"/>
      <c r="F166" s="203">
        <f t="shared" si="5"/>
        <v>0</v>
      </c>
      <c r="G166" s="151" t="e">
        <f t="shared" si="6"/>
        <v>#DIV/0!</v>
      </c>
    </row>
    <row r="167" spans="1:7" ht="12.75" hidden="1">
      <c r="A167" s="67" t="s">
        <v>338</v>
      </c>
      <c r="B167" s="56">
        <v>11442440</v>
      </c>
      <c r="C167" s="208"/>
      <c r="D167" s="208"/>
      <c r="E167" s="208">
        <v>20968.054</v>
      </c>
      <c r="F167" s="203">
        <f t="shared" si="5"/>
        <v>20968.054</v>
      </c>
      <c r="G167" s="151" t="e">
        <f t="shared" si="6"/>
        <v>#DIV/0!</v>
      </c>
    </row>
    <row r="168" spans="1:7" ht="12.75" hidden="1">
      <c r="A168" s="67" t="s">
        <v>278</v>
      </c>
      <c r="B168" s="56">
        <v>11442490</v>
      </c>
      <c r="C168" s="208"/>
      <c r="D168" s="208"/>
      <c r="E168" s="208">
        <v>2580.273</v>
      </c>
      <c r="F168" s="203">
        <f t="shared" si="5"/>
        <v>2580.273</v>
      </c>
      <c r="G168" s="151" t="e">
        <f t="shared" si="6"/>
        <v>#DIV/0!</v>
      </c>
    </row>
    <row r="169" spans="1:7" ht="12.75">
      <c r="A169" s="66" t="s">
        <v>569</v>
      </c>
      <c r="B169" s="65">
        <v>115</v>
      </c>
      <c r="C169" s="206">
        <f>C170+C205</f>
        <v>17752489</v>
      </c>
      <c r="D169" s="206">
        <f>D170+D205</f>
        <v>16297489</v>
      </c>
      <c r="E169" s="206">
        <f>E170+E205</f>
        <v>16492908.844</v>
      </c>
      <c r="F169" s="205">
        <f t="shared" si="5"/>
        <v>195419.8440000005</v>
      </c>
      <c r="G169" s="150">
        <f t="shared" si="6"/>
        <v>101.19907946555449</v>
      </c>
    </row>
    <row r="170" spans="1:7" ht="12.75">
      <c r="A170" s="66" t="s">
        <v>55</v>
      </c>
      <c r="B170" s="65">
        <v>1151</v>
      </c>
      <c r="C170" s="206">
        <f>C171+C178+C181+C184+C186+C191+C197+C203</f>
        <v>665689</v>
      </c>
      <c r="D170" s="206">
        <f>D171+D178+D181+D184+D186+D191+D197+D203</f>
        <v>1028089</v>
      </c>
      <c r="E170" s="206">
        <f>E171+E178+E181+E184+E186+E191+E197+E203</f>
        <v>1372568.703</v>
      </c>
      <c r="F170" s="205">
        <f t="shared" si="5"/>
        <v>344479.703</v>
      </c>
      <c r="G170" s="150">
        <f t="shared" si="6"/>
        <v>133.5067978550495</v>
      </c>
    </row>
    <row r="171" spans="1:7" ht="12.75">
      <c r="A171" s="66" t="s">
        <v>56</v>
      </c>
      <c r="B171" s="65">
        <v>11511</v>
      </c>
      <c r="C171" s="206">
        <f>C172+C173+C174+C175+C176+C177</f>
        <v>144000</v>
      </c>
      <c r="D171" s="206">
        <f>D172+D173+D174+D175+D176+D177</f>
        <v>500000</v>
      </c>
      <c r="E171" s="206">
        <f>E172+E173+E174+E175+E176+E177</f>
        <v>570316.54</v>
      </c>
      <c r="F171" s="205">
        <f t="shared" si="5"/>
        <v>70316.54000000004</v>
      </c>
      <c r="G171" s="150">
        <f t="shared" si="6"/>
        <v>114.06330799999999</v>
      </c>
    </row>
    <row r="172" spans="1:7" ht="22.5">
      <c r="A172" s="67" t="s">
        <v>473</v>
      </c>
      <c r="B172" s="56">
        <v>11511100</v>
      </c>
      <c r="C172" s="208"/>
      <c r="D172" s="208"/>
      <c r="E172" s="208">
        <v>6456.787</v>
      </c>
      <c r="F172" s="203">
        <f t="shared" si="5"/>
        <v>6456.787</v>
      </c>
      <c r="G172" s="338" t="e">
        <f t="shared" si="6"/>
        <v>#DIV/0!</v>
      </c>
    </row>
    <row r="173" spans="1:7" ht="22.5">
      <c r="A173" s="67" t="s">
        <v>474</v>
      </c>
      <c r="B173" s="56">
        <v>11511200</v>
      </c>
      <c r="C173" s="208"/>
      <c r="D173" s="208"/>
      <c r="E173" s="208">
        <v>7.019</v>
      </c>
      <c r="F173" s="203">
        <f t="shared" si="5"/>
        <v>7.019</v>
      </c>
      <c r="G173" s="338" t="e">
        <f t="shared" si="6"/>
        <v>#DIV/0!</v>
      </c>
    </row>
    <row r="174" spans="1:7" ht="22.5" hidden="1">
      <c r="A174" s="67" t="s">
        <v>475</v>
      </c>
      <c r="B174" s="56">
        <v>11511300</v>
      </c>
      <c r="C174" s="208"/>
      <c r="D174" s="208"/>
      <c r="E174" s="208"/>
      <c r="F174" s="203">
        <f t="shared" si="5"/>
        <v>0</v>
      </c>
      <c r="G174" s="151" t="e">
        <f t="shared" si="6"/>
        <v>#DIV/0!</v>
      </c>
    </row>
    <row r="175" spans="1:7" ht="22.5" hidden="1">
      <c r="A175" s="67" t="s">
        <v>476</v>
      </c>
      <c r="B175" s="56">
        <v>11511400</v>
      </c>
      <c r="C175" s="208"/>
      <c r="D175" s="208"/>
      <c r="E175" s="208"/>
      <c r="F175" s="203">
        <f t="shared" si="5"/>
        <v>0</v>
      </c>
      <c r="G175" s="151" t="e">
        <f t="shared" si="6"/>
        <v>#DIV/0!</v>
      </c>
    </row>
    <row r="176" spans="1:7" ht="12.75">
      <c r="A176" s="67" t="s">
        <v>57</v>
      </c>
      <c r="B176" s="56">
        <v>11511500</v>
      </c>
      <c r="C176" s="208">
        <v>144000</v>
      </c>
      <c r="D176" s="208">
        <v>500000</v>
      </c>
      <c r="E176" s="208">
        <v>566968.638</v>
      </c>
      <c r="F176" s="203">
        <f t="shared" si="5"/>
        <v>66968.63800000004</v>
      </c>
      <c r="G176" s="151">
        <f t="shared" si="6"/>
        <v>113.39372760000002</v>
      </c>
    </row>
    <row r="177" spans="1:7" ht="12.75">
      <c r="A177" s="67" t="s">
        <v>58</v>
      </c>
      <c r="B177" s="56">
        <v>11511600</v>
      </c>
      <c r="C177" s="208"/>
      <c r="D177" s="208"/>
      <c r="E177" s="208">
        <v>-3115.904</v>
      </c>
      <c r="F177" s="203">
        <f t="shared" si="5"/>
        <v>-3115.904</v>
      </c>
      <c r="G177" s="338" t="e">
        <f t="shared" si="6"/>
        <v>#DIV/0!</v>
      </c>
    </row>
    <row r="178" spans="1:7" ht="12.75">
      <c r="A178" s="66" t="s">
        <v>59</v>
      </c>
      <c r="B178" s="65">
        <v>11512</v>
      </c>
      <c r="C178" s="344">
        <f>C179+C180</f>
        <v>0</v>
      </c>
      <c r="D178" s="344">
        <f>D179+D180</f>
        <v>0</v>
      </c>
      <c r="E178" s="206">
        <f>E179+E180</f>
        <v>18835.753</v>
      </c>
      <c r="F178" s="205">
        <f t="shared" si="5"/>
        <v>18835.753</v>
      </c>
      <c r="G178" s="342" t="e">
        <f t="shared" si="6"/>
        <v>#DIV/0!</v>
      </c>
    </row>
    <row r="179" spans="1:7" ht="12.75">
      <c r="A179" s="67" t="s">
        <v>60</v>
      </c>
      <c r="B179" s="56">
        <v>11512100</v>
      </c>
      <c r="C179" s="202"/>
      <c r="D179" s="202"/>
      <c r="E179" s="202">
        <v>18835.753</v>
      </c>
      <c r="F179" s="203">
        <f t="shared" si="5"/>
        <v>18835.753</v>
      </c>
      <c r="G179" s="338" t="e">
        <f t="shared" si="6"/>
        <v>#DIV/0!</v>
      </c>
    </row>
    <row r="180" spans="1:7" ht="12.75" hidden="1">
      <c r="A180" s="67" t="s">
        <v>477</v>
      </c>
      <c r="B180" s="56">
        <v>11512200</v>
      </c>
      <c r="C180" s="202"/>
      <c r="D180" s="202"/>
      <c r="E180" s="202"/>
      <c r="F180" s="203">
        <f t="shared" si="5"/>
        <v>0</v>
      </c>
      <c r="G180" s="151" t="e">
        <f t="shared" si="6"/>
        <v>#DIV/0!</v>
      </c>
    </row>
    <row r="181" spans="1:7" ht="12.75">
      <c r="A181" s="66" t="s">
        <v>61</v>
      </c>
      <c r="B181" s="65">
        <v>11513</v>
      </c>
      <c r="C181" s="210">
        <f>C182+C183</f>
        <v>521689</v>
      </c>
      <c r="D181" s="210">
        <f>D182+D183</f>
        <v>528089</v>
      </c>
      <c r="E181" s="210">
        <f>E182+E183</f>
        <v>545272.6329999999</v>
      </c>
      <c r="F181" s="205">
        <f t="shared" si="5"/>
        <v>17183.632999999914</v>
      </c>
      <c r="G181" s="150">
        <f t="shared" si="6"/>
        <v>103.25392746298445</v>
      </c>
    </row>
    <row r="182" spans="1:7" ht="12.75">
      <c r="A182" s="67" t="s">
        <v>27</v>
      </c>
      <c r="B182" s="56">
        <v>11513100</v>
      </c>
      <c r="C182" s="208"/>
      <c r="D182" s="208">
        <v>6400</v>
      </c>
      <c r="E182" s="208">
        <v>7787.531</v>
      </c>
      <c r="F182" s="203">
        <f t="shared" si="5"/>
        <v>1387.531</v>
      </c>
      <c r="G182" s="151">
        <f t="shared" si="6"/>
        <v>121.680171875</v>
      </c>
    </row>
    <row r="183" spans="1:7" ht="12.75">
      <c r="A183" s="67" t="s">
        <v>361</v>
      </c>
      <c r="B183" s="56">
        <v>11513200</v>
      </c>
      <c r="C183" s="208">
        <v>521689</v>
      </c>
      <c r="D183" s="208">
        <v>521689</v>
      </c>
      <c r="E183" s="208">
        <v>537485.102</v>
      </c>
      <c r="F183" s="203">
        <f t="shared" si="5"/>
        <v>15796.101999999955</v>
      </c>
      <c r="G183" s="151">
        <f t="shared" si="6"/>
        <v>103.0278771451957</v>
      </c>
    </row>
    <row r="184" spans="1:7" ht="12.75" hidden="1">
      <c r="A184" s="66" t="s">
        <v>62</v>
      </c>
      <c r="B184" s="65">
        <v>11514</v>
      </c>
      <c r="C184" s="206">
        <f>C185</f>
        <v>0</v>
      </c>
      <c r="D184" s="206">
        <f>D185</f>
        <v>0</v>
      </c>
      <c r="E184" s="206">
        <f>E185</f>
        <v>0</v>
      </c>
      <c r="F184" s="205">
        <f t="shared" si="5"/>
        <v>0</v>
      </c>
      <c r="G184" s="150" t="e">
        <f t="shared" si="6"/>
        <v>#DIV/0!</v>
      </c>
    </row>
    <row r="185" spans="1:7" ht="12.75" hidden="1">
      <c r="A185" s="67" t="s">
        <v>62</v>
      </c>
      <c r="B185" s="56">
        <v>11514100</v>
      </c>
      <c r="C185" s="202"/>
      <c r="D185" s="202"/>
      <c r="E185" s="202"/>
      <c r="F185" s="203">
        <f t="shared" si="5"/>
        <v>0</v>
      </c>
      <c r="G185" s="151" t="e">
        <f t="shared" si="6"/>
        <v>#DIV/0!</v>
      </c>
    </row>
    <row r="186" spans="1:7" ht="31.5" hidden="1">
      <c r="A186" s="175" t="s">
        <v>478</v>
      </c>
      <c r="B186" s="176">
        <v>11515</v>
      </c>
      <c r="C186" s="206">
        <f>C187+C188+C189+C190</f>
        <v>0</v>
      </c>
      <c r="D186" s="206">
        <f>D187+D188+D189+D190</f>
        <v>0</v>
      </c>
      <c r="E186" s="206">
        <f>E187+E188+E189+E190</f>
        <v>0</v>
      </c>
      <c r="F186" s="205">
        <f t="shared" si="5"/>
        <v>0</v>
      </c>
      <c r="G186" s="150" t="e">
        <f t="shared" si="6"/>
        <v>#DIV/0!</v>
      </c>
    </row>
    <row r="187" spans="1:7" ht="22.5" hidden="1">
      <c r="A187" s="177" t="s">
        <v>479</v>
      </c>
      <c r="B187" s="178">
        <v>11515100</v>
      </c>
      <c r="C187" s="202"/>
      <c r="D187" s="202"/>
      <c r="E187" s="202"/>
      <c r="F187" s="203">
        <f t="shared" si="5"/>
        <v>0</v>
      </c>
      <c r="G187" s="151" t="e">
        <f t="shared" si="6"/>
        <v>#DIV/0!</v>
      </c>
    </row>
    <row r="188" spans="1:7" ht="22.5" hidden="1">
      <c r="A188" s="177" t="s">
        <v>480</v>
      </c>
      <c r="B188" s="178">
        <v>11515200</v>
      </c>
      <c r="C188" s="202"/>
      <c r="D188" s="202"/>
      <c r="E188" s="202"/>
      <c r="F188" s="203">
        <f t="shared" si="5"/>
        <v>0</v>
      </c>
      <c r="G188" s="151" t="e">
        <f t="shared" si="6"/>
        <v>#DIV/0!</v>
      </c>
    </row>
    <row r="189" spans="1:7" ht="22.5" hidden="1">
      <c r="A189" s="177" t="s">
        <v>481</v>
      </c>
      <c r="B189" s="178">
        <v>11515300</v>
      </c>
      <c r="C189" s="202"/>
      <c r="D189" s="202"/>
      <c r="E189" s="202"/>
      <c r="F189" s="203">
        <f t="shared" si="5"/>
        <v>0</v>
      </c>
      <c r="G189" s="151" t="e">
        <f t="shared" si="6"/>
        <v>#DIV/0!</v>
      </c>
    </row>
    <row r="190" spans="1:7" ht="22.5" hidden="1">
      <c r="A190" s="177" t="s">
        <v>482</v>
      </c>
      <c r="B190" s="178">
        <v>11515400</v>
      </c>
      <c r="C190" s="202"/>
      <c r="D190" s="202"/>
      <c r="E190" s="202"/>
      <c r="F190" s="203">
        <f t="shared" si="5"/>
        <v>0</v>
      </c>
      <c r="G190" s="151" t="e">
        <f t="shared" si="6"/>
        <v>#DIV/0!</v>
      </c>
    </row>
    <row r="191" spans="1:7" ht="21">
      <c r="A191" s="175" t="s">
        <v>483</v>
      </c>
      <c r="B191" s="176">
        <v>11516</v>
      </c>
      <c r="C191" s="344">
        <f>C192+C193+C194+C195+C196</f>
        <v>0</v>
      </c>
      <c r="D191" s="344">
        <f>D192+D193+D194+D195+D196</f>
        <v>0</v>
      </c>
      <c r="E191" s="206">
        <f>E192+E193+E194+E195+E196</f>
        <v>235413.124</v>
      </c>
      <c r="F191" s="205">
        <f t="shared" si="5"/>
        <v>235413.124</v>
      </c>
      <c r="G191" s="342" t="e">
        <f t="shared" si="6"/>
        <v>#DIV/0!</v>
      </c>
    </row>
    <row r="192" spans="1:7" ht="22.5" hidden="1">
      <c r="A192" s="177" t="s">
        <v>484</v>
      </c>
      <c r="B192" s="178">
        <v>11516100</v>
      </c>
      <c r="C192" s="202"/>
      <c r="D192" s="202"/>
      <c r="E192" s="202"/>
      <c r="F192" s="203">
        <f t="shared" si="5"/>
        <v>0</v>
      </c>
      <c r="G192" s="338" t="e">
        <f t="shared" si="6"/>
        <v>#DIV/0!</v>
      </c>
    </row>
    <row r="193" spans="1:7" ht="22.5" hidden="1">
      <c r="A193" s="177" t="s">
        <v>485</v>
      </c>
      <c r="B193" s="178">
        <v>11516200</v>
      </c>
      <c r="C193" s="202"/>
      <c r="D193" s="202"/>
      <c r="E193" s="202"/>
      <c r="F193" s="203">
        <f t="shared" si="5"/>
        <v>0</v>
      </c>
      <c r="G193" s="338" t="e">
        <f t="shared" si="6"/>
        <v>#DIV/0!</v>
      </c>
    </row>
    <row r="194" spans="1:7" ht="22.5" hidden="1">
      <c r="A194" s="177" t="s">
        <v>486</v>
      </c>
      <c r="B194" s="178">
        <v>11516300</v>
      </c>
      <c r="C194" s="202"/>
      <c r="D194" s="202"/>
      <c r="E194" s="202"/>
      <c r="F194" s="203">
        <f t="shared" si="5"/>
        <v>0</v>
      </c>
      <c r="G194" s="338" t="e">
        <f t="shared" si="6"/>
        <v>#DIV/0!</v>
      </c>
    </row>
    <row r="195" spans="1:7" ht="22.5" hidden="1">
      <c r="A195" s="177" t="s">
        <v>487</v>
      </c>
      <c r="B195" s="178">
        <v>11516400</v>
      </c>
      <c r="C195" s="202"/>
      <c r="D195" s="202"/>
      <c r="E195" s="202"/>
      <c r="F195" s="203">
        <f t="shared" si="5"/>
        <v>0</v>
      </c>
      <c r="G195" s="338" t="e">
        <f t="shared" si="6"/>
        <v>#DIV/0!</v>
      </c>
    </row>
    <row r="196" spans="1:7" ht="22.5">
      <c r="A196" s="177" t="s">
        <v>488</v>
      </c>
      <c r="B196" s="178">
        <v>11516500</v>
      </c>
      <c r="C196" s="202"/>
      <c r="D196" s="202"/>
      <c r="E196" s="202">
        <v>235413.124</v>
      </c>
      <c r="F196" s="203">
        <f t="shared" si="5"/>
        <v>235413.124</v>
      </c>
      <c r="G196" s="338" t="e">
        <f t="shared" si="6"/>
        <v>#DIV/0!</v>
      </c>
    </row>
    <row r="197" spans="1:7" ht="42">
      <c r="A197" s="175" t="s">
        <v>570</v>
      </c>
      <c r="B197" s="176">
        <v>11517</v>
      </c>
      <c r="C197" s="344">
        <f>C198+C199+C200+C201+C202</f>
        <v>0</v>
      </c>
      <c r="D197" s="344">
        <f>D198+D199+D200+D201+D202</f>
        <v>0</v>
      </c>
      <c r="E197" s="206">
        <f>E198+E199+E200+E201+E202</f>
        <v>2730.653</v>
      </c>
      <c r="F197" s="205">
        <f t="shared" si="5"/>
        <v>2730.653</v>
      </c>
      <c r="G197" s="342" t="e">
        <f t="shared" si="6"/>
        <v>#DIV/0!</v>
      </c>
    </row>
    <row r="198" spans="1:7" ht="22.5" hidden="1">
      <c r="A198" s="177" t="s">
        <v>489</v>
      </c>
      <c r="B198" s="178">
        <v>11517100</v>
      </c>
      <c r="C198" s="202"/>
      <c r="D198" s="202"/>
      <c r="E198" s="202"/>
      <c r="F198" s="203">
        <f t="shared" si="5"/>
        <v>0</v>
      </c>
      <c r="G198" s="338" t="e">
        <f t="shared" si="6"/>
        <v>#DIV/0!</v>
      </c>
    </row>
    <row r="199" spans="1:7" ht="22.5" hidden="1">
      <c r="A199" s="177" t="s">
        <v>490</v>
      </c>
      <c r="B199" s="178">
        <v>11517200</v>
      </c>
      <c r="C199" s="202"/>
      <c r="D199" s="202"/>
      <c r="E199" s="202"/>
      <c r="F199" s="203">
        <f t="shared" si="5"/>
        <v>0</v>
      </c>
      <c r="G199" s="338" t="e">
        <f t="shared" si="6"/>
        <v>#DIV/0!</v>
      </c>
    </row>
    <row r="200" spans="1:7" ht="33.75" hidden="1">
      <c r="A200" s="177" t="s">
        <v>491</v>
      </c>
      <c r="B200" s="178">
        <v>11517300</v>
      </c>
      <c r="C200" s="202"/>
      <c r="D200" s="202"/>
      <c r="E200" s="202"/>
      <c r="F200" s="203">
        <f aca="true" t="shared" si="7" ref="F200:F263">E200-D200</f>
        <v>0</v>
      </c>
      <c r="G200" s="338" t="e">
        <f aca="true" t="shared" si="8" ref="G200:G263">E200/D200*100</f>
        <v>#DIV/0!</v>
      </c>
    </row>
    <row r="201" spans="1:7" ht="22.5" hidden="1">
      <c r="A201" s="177" t="s">
        <v>492</v>
      </c>
      <c r="B201" s="178">
        <v>11517400</v>
      </c>
      <c r="C201" s="202"/>
      <c r="D201" s="202"/>
      <c r="E201" s="202"/>
      <c r="F201" s="203">
        <f t="shared" si="7"/>
        <v>0</v>
      </c>
      <c r="G201" s="338" t="e">
        <f t="shared" si="8"/>
        <v>#DIV/0!</v>
      </c>
    </row>
    <row r="202" spans="1:7" ht="22.5">
      <c r="A202" s="177" t="s">
        <v>493</v>
      </c>
      <c r="B202" s="178">
        <v>11517500</v>
      </c>
      <c r="C202" s="202"/>
      <c r="D202" s="202"/>
      <c r="E202" s="202">
        <v>2730.653</v>
      </c>
      <c r="F202" s="203">
        <f t="shared" si="7"/>
        <v>2730.653</v>
      </c>
      <c r="G202" s="338" t="e">
        <f t="shared" si="8"/>
        <v>#DIV/0!</v>
      </c>
    </row>
    <row r="203" spans="1:7" ht="12.75" hidden="1">
      <c r="A203" s="175" t="s">
        <v>494</v>
      </c>
      <c r="B203" s="176">
        <v>11518</v>
      </c>
      <c r="C203" s="206">
        <f>C204</f>
        <v>0</v>
      </c>
      <c r="D203" s="206">
        <f>D204</f>
        <v>0</v>
      </c>
      <c r="E203" s="206">
        <f>E204</f>
        <v>0</v>
      </c>
      <c r="F203" s="205">
        <f t="shared" si="7"/>
        <v>0</v>
      </c>
      <c r="G203" s="150" t="e">
        <f t="shared" si="8"/>
        <v>#DIV/0!</v>
      </c>
    </row>
    <row r="204" spans="1:7" ht="12.75" hidden="1">
      <c r="A204" s="177" t="s">
        <v>494</v>
      </c>
      <c r="B204" s="178">
        <v>11518100</v>
      </c>
      <c r="C204" s="202"/>
      <c r="D204" s="202"/>
      <c r="E204" s="202"/>
      <c r="F204" s="203">
        <f t="shared" si="7"/>
        <v>0</v>
      </c>
      <c r="G204" s="151" t="e">
        <f t="shared" si="8"/>
        <v>#DIV/0!</v>
      </c>
    </row>
    <row r="205" spans="1:7" ht="12.75">
      <c r="A205" s="175" t="s">
        <v>495</v>
      </c>
      <c r="B205" s="176">
        <v>1152</v>
      </c>
      <c r="C205" s="206">
        <f>C206+C211+C216+C221+C226</f>
        <v>17086800</v>
      </c>
      <c r="D205" s="206">
        <f>D206+D211+D216+D221+D226</f>
        <v>15269400</v>
      </c>
      <c r="E205" s="206">
        <f>E206+E211+E216+E221+E226</f>
        <v>15120340.141</v>
      </c>
      <c r="F205" s="205">
        <f t="shared" si="7"/>
        <v>-149059.85899999924</v>
      </c>
      <c r="G205" s="150">
        <f t="shared" si="8"/>
        <v>99.02380015586729</v>
      </c>
    </row>
    <row r="206" spans="1:7" ht="21">
      <c r="A206" s="175" t="s">
        <v>496</v>
      </c>
      <c r="B206" s="176">
        <v>11521</v>
      </c>
      <c r="C206" s="206">
        <v>17086800</v>
      </c>
      <c r="D206" s="206">
        <v>15269400</v>
      </c>
      <c r="E206" s="206">
        <f>E207+E208+E209+E210</f>
        <v>14980910.818</v>
      </c>
      <c r="F206" s="205">
        <f t="shared" si="7"/>
        <v>-288489.18200000003</v>
      </c>
      <c r="G206" s="150">
        <f t="shared" si="8"/>
        <v>98.1106711331159</v>
      </c>
    </row>
    <row r="207" spans="1:7" ht="12.75" hidden="1">
      <c r="A207" s="177" t="s">
        <v>497</v>
      </c>
      <c r="B207" s="178">
        <v>11521100</v>
      </c>
      <c r="C207" s="202"/>
      <c r="D207" s="202"/>
      <c r="E207" s="202">
        <v>824814.187</v>
      </c>
      <c r="F207" s="203">
        <f t="shared" si="7"/>
        <v>824814.187</v>
      </c>
      <c r="G207" s="151" t="e">
        <f t="shared" si="8"/>
        <v>#DIV/0!</v>
      </c>
    </row>
    <row r="208" spans="1:7" ht="12.75" hidden="1">
      <c r="A208" s="177" t="s">
        <v>498</v>
      </c>
      <c r="B208" s="178">
        <v>11521200</v>
      </c>
      <c r="C208" s="202"/>
      <c r="D208" s="202"/>
      <c r="E208" s="202">
        <v>823532.603</v>
      </c>
      <c r="F208" s="203">
        <f t="shared" si="7"/>
        <v>823532.603</v>
      </c>
      <c r="G208" s="151" t="e">
        <f t="shared" si="8"/>
        <v>#DIV/0!</v>
      </c>
    </row>
    <row r="209" spans="1:7" ht="12.75" hidden="1">
      <c r="A209" s="177" t="s">
        <v>499</v>
      </c>
      <c r="B209" s="178">
        <v>11521300</v>
      </c>
      <c r="C209" s="202"/>
      <c r="D209" s="202"/>
      <c r="E209" s="202">
        <v>13213950.627</v>
      </c>
      <c r="F209" s="203">
        <f t="shared" si="7"/>
        <v>13213950.627</v>
      </c>
      <c r="G209" s="151" t="e">
        <f t="shared" si="8"/>
        <v>#DIV/0!</v>
      </c>
    </row>
    <row r="210" spans="1:7" ht="12.75" hidden="1">
      <c r="A210" s="177" t="s">
        <v>500</v>
      </c>
      <c r="B210" s="178">
        <v>11521400</v>
      </c>
      <c r="C210" s="202"/>
      <c r="D210" s="202"/>
      <c r="E210" s="202">
        <v>118613.401</v>
      </c>
      <c r="F210" s="203">
        <f t="shared" si="7"/>
        <v>118613.401</v>
      </c>
      <c r="G210" s="151" t="e">
        <f t="shared" si="8"/>
        <v>#DIV/0!</v>
      </c>
    </row>
    <row r="211" spans="1:7" ht="31.5" hidden="1">
      <c r="A211" s="175" t="s">
        <v>501</v>
      </c>
      <c r="B211" s="176">
        <v>11522</v>
      </c>
      <c r="C211" s="206">
        <f>C212+C213+C214+C215</f>
        <v>0</v>
      </c>
      <c r="D211" s="206">
        <f>D212+D213+D214+D215</f>
        <v>0</v>
      </c>
      <c r="E211" s="206">
        <f>E212+E213+E214+E215</f>
        <v>0</v>
      </c>
      <c r="F211" s="205">
        <f t="shared" si="7"/>
        <v>0</v>
      </c>
      <c r="G211" s="150" t="e">
        <f t="shared" si="8"/>
        <v>#DIV/0!</v>
      </c>
    </row>
    <row r="212" spans="1:7" ht="33.75" hidden="1">
      <c r="A212" s="177" t="s">
        <v>502</v>
      </c>
      <c r="B212" s="178">
        <v>11522100</v>
      </c>
      <c r="C212" s="202"/>
      <c r="D212" s="202"/>
      <c r="E212" s="202"/>
      <c r="F212" s="203">
        <f t="shared" si="7"/>
        <v>0</v>
      </c>
      <c r="G212" s="151" t="e">
        <f t="shared" si="8"/>
        <v>#DIV/0!</v>
      </c>
    </row>
    <row r="213" spans="1:7" ht="33.75" hidden="1">
      <c r="A213" s="177" t="s">
        <v>503</v>
      </c>
      <c r="B213" s="178">
        <v>11522200</v>
      </c>
      <c r="C213" s="202"/>
      <c r="D213" s="202"/>
      <c r="E213" s="202"/>
      <c r="F213" s="203">
        <f t="shared" si="7"/>
        <v>0</v>
      </c>
      <c r="G213" s="151" t="e">
        <f t="shared" si="8"/>
        <v>#DIV/0!</v>
      </c>
    </row>
    <row r="214" spans="1:7" ht="33.75" hidden="1">
      <c r="A214" s="177" t="s">
        <v>504</v>
      </c>
      <c r="B214" s="178">
        <v>11522300</v>
      </c>
      <c r="C214" s="202"/>
      <c r="D214" s="202"/>
      <c r="E214" s="202"/>
      <c r="F214" s="203">
        <f t="shared" si="7"/>
        <v>0</v>
      </c>
      <c r="G214" s="151" t="e">
        <f t="shared" si="8"/>
        <v>#DIV/0!</v>
      </c>
    </row>
    <row r="215" spans="1:7" ht="33.75" hidden="1">
      <c r="A215" s="177" t="s">
        <v>505</v>
      </c>
      <c r="B215" s="178">
        <v>11522400</v>
      </c>
      <c r="C215" s="202"/>
      <c r="D215" s="202"/>
      <c r="E215" s="202"/>
      <c r="F215" s="203">
        <f t="shared" si="7"/>
        <v>0</v>
      </c>
      <c r="G215" s="151" t="e">
        <f t="shared" si="8"/>
        <v>#DIV/0!</v>
      </c>
    </row>
    <row r="216" spans="1:7" ht="42" hidden="1">
      <c r="A216" s="152" t="s">
        <v>506</v>
      </c>
      <c r="B216" s="176">
        <v>11523</v>
      </c>
      <c r="C216" s="206">
        <f>C217+C218+C219+C220</f>
        <v>0</v>
      </c>
      <c r="D216" s="206">
        <f>D217+D218+D219+D220</f>
        <v>0</v>
      </c>
      <c r="E216" s="206">
        <f>E217+E218+E219+E220</f>
        <v>0</v>
      </c>
      <c r="F216" s="205">
        <f t="shared" si="7"/>
        <v>0</v>
      </c>
      <c r="G216" s="150" t="e">
        <f t="shared" si="8"/>
        <v>#DIV/0!</v>
      </c>
    </row>
    <row r="217" spans="1:7" ht="22.5" hidden="1">
      <c r="A217" s="153" t="s">
        <v>507</v>
      </c>
      <c r="B217" s="178">
        <v>11523100</v>
      </c>
      <c r="C217" s="202"/>
      <c r="D217" s="202"/>
      <c r="E217" s="202"/>
      <c r="F217" s="203">
        <f t="shared" si="7"/>
        <v>0</v>
      </c>
      <c r="G217" s="151" t="e">
        <f t="shared" si="8"/>
        <v>#DIV/0!</v>
      </c>
    </row>
    <row r="218" spans="1:7" ht="22.5" hidden="1">
      <c r="A218" s="153" t="s">
        <v>508</v>
      </c>
      <c r="B218" s="178">
        <v>11523200</v>
      </c>
      <c r="C218" s="202"/>
      <c r="D218" s="202"/>
      <c r="E218" s="202"/>
      <c r="F218" s="203">
        <f t="shared" si="7"/>
        <v>0</v>
      </c>
      <c r="G218" s="151" t="e">
        <f t="shared" si="8"/>
        <v>#DIV/0!</v>
      </c>
    </row>
    <row r="219" spans="1:7" ht="22.5" hidden="1">
      <c r="A219" s="153" t="s">
        <v>509</v>
      </c>
      <c r="B219" s="178">
        <v>11523300</v>
      </c>
      <c r="C219" s="202"/>
      <c r="D219" s="202"/>
      <c r="E219" s="202"/>
      <c r="F219" s="203">
        <f t="shared" si="7"/>
        <v>0</v>
      </c>
      <c r="G219" s="151" t="e">
        <f t="shared" si="8"/>
        <v>#DIV/0!</v>
      </c>
    </row>
    <row r="220" spans="1:7" ht="22.5" hidden="1">
      <c r="A220" s="153" t="s">
        <v>510</v>
      </c>
      <c r="B220" s="178">
        <v>11523400</v>
      </c>
      <c r="C220" s="202"/>
      <c r="D220" s="202"/>
      <c r="E220" s="202"/>
      <c r="F220" s="203">
        <f t="shared" si="7"/>
        <v>0</v>
      </c>
      <c r="G220" s="151" t="e">
        <f t="shared" si="8"/>
        <v>#DIV/0!</v>
      </c>
    </row>
    <row r="221" spans="1:7" ht="42">
      <c r="A221" s="152" t="s">
        <v>511</v>
      </c>
      <c r="B221" s="176">
        <v>11524</v>
      </c>
      <c r="C221" s="344">
        <f>C222+C223+C224+C225</f>
        <v>0</v>
      </c>
      <c r="D221" s="344">
        <f>D222+D223+D224+D225</f>
        <v>0</v>
      </c>
      <c r="E221" s="206">
        <f>E222+E223+E224+E225</f>
        <v>139429.323</v>
      </c>
      <c r="F221" s="205">
        <f t="shared" si="7"/>
        <v>139429.323</v>
      </c>
      <c r="G221" s="342" t="e">
        <f t="shared" si="8"/>
        <v>#DIV/0!</v>
      </c>
    </row>
    <row r="222" spans="1:7" ht="22.5" hidden="1">
      <c r="A222" s="153" t="s">
        <v>512</v>
      </c>
      <c r="B222" s="178">
        <v>11524100</v>
      </c>
      <c r="C222" s="346"/>
      <c r="D222" s="346"/>
      <c r="E222" s="202">
        <v>17504.003</v>
      </c>
      <c r="F222" s="203">
        <f t="shared" si="7"/>
        <v>17504.003</v>
      </c>
      <c r="G222" s="338" t="e">
        <f t="shared" si="8"/>
        <v>#DIV/0!</v>
      </c>
    </row>
    <row r="223" spans="1:7" ht="22.5" hidden="1">
      <c r="A223" s="153" t="s">
        <v>513</v>
      </c>
      <c r="B223" s="178">
        <v>11524200</v>
      </c>
      <c r="C223" s="346"/>
      <c r="D223" s="346"/>
      <c r="E223" s="202">
        <v>5923.527</v>
      </c>
      <c r="F223" s="203">
        <f t="shared" si="7"/>
        <v>5923.527</v>
      </c>
      <c r="G223" s="338" t="e">
        <f t="shared" si="8"/>
        <v>#DIV/0!</v>
      </c>
    </row>
    <row r="224" spans="1:7" ht="22.5" hidden="1">
      <c r="A224" s="153" t="s">
        <v>514</v>
      </c>
      <c r="B224" s="178">
        <v>11524300</v>
      </c>
      <c r="C224" s="346"/>
      <c r="D224" s="346"/>
      <c r="E224" s="202">
        <v>114387.384</v>
      </c>
      <c r="F224" s="203">
        <f t="shared" si="7"/>
        <v>114387.384</v>
      </c>
      <c r="G224" s="338" t="e">
        <f t="shared" si="8"/>
        <v>#DIV/0!</v>
      </c>
    </row>
    <row r="225" spans="1:7" ht="22.5" hidden="1">
      <c r="A225" s="153" t="s">
        <v>515</v>
      </c>
      <c r="B225" s="178">
        <v>11524400</v>
      </c>
      <c r="C225" s="346"/>
      <c r="D225" s="346"/>
      <c r="E225" s="202">
        <v>1614.409</v>
      </c>
      <c r="F225" s="203">
        <f t="shared" si="7"/>
        <v>1614.409</v>
      </c>
      <c r="G225" s="338" t="e">
        <f t="shared" si="8"/>
        <v>#DIV/0!</v>
      </c>
    </row>
    <row r="226" spans="1:7" ht="31.5" hidden="1">
      <c r="A226" s="152" t="s">
        <v>541</v>
      </c>
      <c r="B226" s="176">
        <v>11525</v>
      </c>
      <c r="C226" s="344">
        <f>C227</f>
        <v>0</v>
      </c>
      <c r="D226" s="344">
        <f>D227</f>
        <v>0</v>
      </c>
      <c r="E226" s="206">
        <f>E227</f>
        <v>0</v>
      </c>
      <c r="F226" s="205">
        <f t="shared" si="7"/>
        <v>0</v>
      </c>
      <c r="G226" s="342" t="e">
        <f t="shared" si="8"/>
        <v>#DIV/0!</v>
      </c>
    </row>
    <row r="227" spans="1:7" ht="33.75" hidden="1">
      <c r="A227" s="153" t="s">
        <v>542</v>
      </c>
      <c r="B227" s="178">
        <v>11525300</v>
      </c>
      <c r="C227" s="346"/>
      <c r="D227" s="346"/>
      <c r="E227" s="202"/>
      <c r="F227" s="203">
        <f t="shared" si="7"/>
        <v>0</v>
      </c>
      <c r="G227" s="338" t="e">
        <f t="shared" si="8"/>
        <v>#DIV/0!</v>
      </c>
    </row>
    <row r="228" spans="1:7" ht="12.75">
      <c r="A228" s="66" t="s">
        <v>340</v>
      </c>
      <c r="B228" s="65">
        <v>116</v>
      </c>
      <c r="C228" s="344">
        <f aca="true" t="shared" si="9" ref="C228:E229">C229</f>
        <v>0</v>
      </c>
      <c r="D228" s="344">
        <f t="shared" si="9"/>
        <v>0</v>
      </c>
      <c r="E228" s="206">
        <f t="shared" si="9"/>
        <v>2927.02</v>
      </c>
      <c r="F228" s="205">
        <f t="shared" si="7"/>
        <v>2927.02</v>
      </c>
      <c r="G228" s="342" t="e">
        <f t="shared" si="8"/>
        <v>#DIV/0!</v>
      </c>
    </row>
    <row r="229" spans="1:7" ht="12.75">
      <c r="A229" s="66" t="s">
        <v>340</v>
      </c>
      <c r="B229" s="65">
        <v>1161</v>
      </c>
      <c r="C229" s="344">
        <f t="shared" si="9"/>
        <v>0</v>
      </c>
      <c r="D229" s="344">
        <f t="shared" si="9"/>
        <v>0</v>
      </c>
      <c r="E229" s="206">
        <f t="shared" si="9"/>
        <v>2927.02</v>
      </c>
      <c r="F229" s="205">
        <f t="shared" si="7"/>
        <v>2927.02</v>
      </c>
      <c r="G229" s="342" t="e">
        <f t="shared" si="8"/>
        <v>#DIV/0!</v>
      </c>
    </row>
    <row r="230" spans="1:7" ht="12.75">
      <c r="A230" s="66" t="s">
        <v>340</v>
      </c>
      <c r="B230" s="65">
        <v>11611</v>
      </c>
      <c r="C230" s="344">
        <f>C231+C232</f>
        <v>0</v>
      </c>
      <c r="D230" s="344">
        <f>D231+D232</f>
        <v>0</v>
      </c>
      <c r="E230" s="206">
        <f>E231+E232</f>
        <v>2927.02</v>
      </c>
      <c r="F230" s="205">
        <f t="shared" si="7"/>
        <v>2927.02</v>
      </c>
      <c r="G230" s="342" t="e">
        <f t="shared" si="8"/>
        <v>#DIV/0!</v>
      </c>
    </row>
    <row r="231" spans="1:7" ht="12.75" hidden="1">
      <c r="A231" s="67" t="s">
        <v>516</v>
      </c>
      <c r="B231" s="56">
        <v>11611100</v>
      </c>
      <c r="C231" s="208"/>
      <c r="D231" s="208"/>
      <c r="E231" s="208">
        <v>2927.02</v>
      </c>
      <c r="F231" s="203">
        <f t="shared" si="7"/>
        <v>2927.02</v>
      </c>
      <c r="G231" s="151" t="e">
        <f t="shared" si="8"/>
        <v>#DIV/0!</v>
      </c>
    </row>
    <row r="232" spans="1:7" ht="12.75" hidden="1">
      <c r="A232" s="67" t="s">
        <v>517</v>
      </c>
      <c r="B232" s="56">
        <v>11611200</v>
      </c>
      <c r="C232" s="208"/>
      <c r="D232" s="208"/>
      <c r="E232" s="208"/>
      <c r="F232" s="203">
        <f t="shared" si="7"/>
        <v>0</v>
      </c>
      <c r="G232" s="151" t="e">
        <f t="shared" si="8"/>
        <v>#DIV/0!</v>
      </c>
    </row>
    <row r="233" spans="1:7" ht="12.75">
      <c r="A233" s="66" t="s">
        <v>522</v>
      </c>
      <c r="B233" s="65">
        <v>12</v>
      </c>
      <c r="C233" s="344">
        <f aca="true" t="shared" si="10" ref="C233:E235">C234</f>
        <v>0</v>
      </c>
      <c r="D233" s="206">
        <f t="shared" si="10"/>
        <v>2442745.3</v>
      </c>
      <c r="E233" s="206">
        <f t="shared" si="10"/>
        <v>2412533.197</v>
      </c>
      <c r="F233" s="205">
        <f t="shared" si="7"/>
        <v>-30212.102999999654</v>
      </c>
      <c r="G233" s="150">
        <f t="shared" si="8"/>
        <v>98.7631906199963</v>
      </c>
    </row>
    <row r="234" spans="1:7" ht="12.75">
      <c r="A234" s="66" t="s">
        <v>523</v>
      </c>
      <c r="B234" s="65">
        <v>122</v>
      </c>
      <c r="C234" s="344">
        <f t="shared" si="10"/>
        <v>0</v>
      </c>
      <c r="D234" s="206">
        <f t="shared" si="10"/>
        <v>2442745.3</v>
      </c>
      <c r="E234" s="206">
        <f t="shared" si="10"/>
        <v>2412533.197</v>
      </c>
      <c r="F234" s="205">
        <f t="shared" si="7"/>
        <v>-30212.102999999654</v>
      </c>
      <c r="G234" s="150">
        <f t="shared" si="8"/>
        <v>98.7631906199963</v>
      </c>
    </row>
    <row r="235" spans="1:7" ht="12.75">
      <c r="A235" s="66" t="s">
        <v>524</v>
      </c>
      <c r="B235" s="65">
        <v>1223</v>
      </c>
      <c r="C235" s="344">
        <f t="shared" si="10"/>
        <v>0</v>
      </c>
      <c r="D235" s="206">
        <f t="shared" si="10"/>
        <v>2442745.3</v>
      </c>
      <c r="E235" s="206">
        <f t="shared" si="10"/>
        <v>2412533.197</v>
      </c>
      <c r="F235" s="205">
        <f t="shared" si="7"/>
        <v>-30212.102999999654</v>
      </c>
      <c r="G235" s="150">
        <f t="shared" si="8"/>
        <v>98.7631906199963</v>
      </c>
    </row>
    <row r="236" spans="1:7" ht="12.75">
      <c r="A236" s="67" t="s">
        <v>524</v>
      </c>
      <c r="B236" s="56">
        <v>12230100</v>
      </c>
      <c r="C236" s="208"/>
      <c r="D236" s="208">
        <v>2442745.3</v>
      </c>
      <c r="E236" s="208">
        <v>2412533.197</v>
      </c>
      <c r="F236" s="203">
        <f t="shared" si="7"/>
        <v>-30212.102999999654</v>
      </c>
      <c r="G236" s="151">
        <f t="shared" si="8"/>
        <v>98.7631906199963</v>
      </c>
    </row>
    <row r="237" spans="1:7" ht="12.75">
      <c r="A237" s="66" t="s">
        <v>63</v>
      </c>
      <c r="B237" s="65">
        <v>13</v>
      </c>
      <c r="C237" s="206">
        <f>C238+C247</f>
        <v>12935863.6</v>
      </c>
      <c r="D237" s="206">
        <f>D238+D247</f>
        <v>14820952.6</v>
      </c>
      <c r="E237" s="206">
        <f>E238+E247</f>
        <v>13468100.194</v>
      </c>
      <c r="F237" s="205">
        <f t="shared" si="7"/>
        <v>-1352852.4059999995</v>
      </c>
      <c r="G237" s="150">
        <f t="shared" si="8"/>
        <v>90.87202798287069</v>
      </c>
    </row>
    <row r="238" spans="1:7" ht="12.75">
      <c r="A238" s="66" t="s">
        <v>64</v>
      </c>
      <c r="B238" s="65">
        <v>131</v>
      </c>
      <c r="C238" s="206">
        <f>C239+C243</f>
        <v>12935863.6</v>
      </c>
      <c r="D238" s="206">
        <f>D239+D243</f>
        <v>14820952.6</v>
      </c>
      <c r="E238" s="206">
        <f>E239+E243</f>
        <v>13466500.194</v>
      </c>
      <c r="F238" s="205">
        <f t="shared" si="7"/>
        <v>-1354452.4059999995</v>
      </c>
      <c r="G238" s="150">
        <f t="shared" si="8"/>
        <v>90.8612324554631</v>
      </c>
    </row>
    <row r="239" spans="1:7" ht="12.75">
      <c r="A239" s="66" t="s">
        <v>65</v>
      </c>
      <c r="B239" s="65">
        <v>1311</v>
      </c>
      <c r="C239" s="206">
        <f>C240</f>
        <v>3424170</v>
      </c>
      <c r="D239" s="206">
        <f>D240</f>
        <v>7972076</v>
      </c>
      <c r="E239" s="206">
        <f>E240</f>
        <v>5018926.1</v>
      </c>
      <c r="F239" s="205">
        <f t="shared" si="7"/>
        <v>-2953149.9000000004</v>
      </c>
      <c r="G239" s="150">
        <f t="shared" si="8"/>
        <v>62.95632530347176</v>
      </c>
    </row>
    <row r="240" spans="1:7" ht="12.75">
      <c r="A240" s="66" t="s">
        <v>65</v>
      </c>
      <c r="B240" s="65">
        <v>13111</v>
      </c>
      <c r="C240" s="206">
        <f>C241+C242</f>
        <v>3424170</v>
      </c>
      <c r="D240" s="206">
        <f>D241+D242</f>
        <v>7972076</v>
      </c>
      <c r="E240" s="206">
        <f>E241+E242</f>
        <v>5018926.1</v>
      </c>
      <c r="F240" s="205">
        <f t="shared" si="7"/>
        <v>-2953149.9000000004</v>
      </c>
      <c r="G240" s="150">
        <f t="shared" si="8"/>
        <v>62.95632530347176</v>
      </c>
    </row>
    <row r="241" spans="1:7" ht="12.75">
      <c r="A241" s="67" t="s">
        <v>66</v>
      </c>
      <c r="B241" s="56">
        <v>13111100</v>
      </c>
      <c r="C241" s="208">
        <v>3424170</v>
      </c>
      <c r="D241" s="208">
        <v>7972076</v>
      </c>
      <c r="E241" s="208">
        <f>3946795.8+1072130.3</f>
        <v>5018926.1</v>
      </c>
      <c r="F241" s="203">
        <f t="shared" si="7"/>
        <v>-2953149.9000000004</v>
      </c>
      <c r="G241" s="151">
        <f t="shared" si="8"/>
        <v>62.95632530347176</v>
      </c>
    </row>
    <row r="242" spans="1:7" ht="12.75" hidden="1">
      <c r="A242" s="67" t="s">
        <v>67</v>
      </c>
      <c r="B242" s="56">
        <v>13111200</v>
      </c>
      <c r="C242" s="208"/>
      <c r="D242" s="208"/>
      <c r="E242" s="208"/>
      <c r="F242" s="203">
        <f t="shared" si="7"/>
        <v>0</v>
      </c>
      <c r="G242" s="151" t="e">
        <f t="shared" si="8"/>
        <v>#DIV/0!</v>
      </c>
    </row>
    <row r="243" spans="1:7" ht="12.75">
      <c r="A243" s="66" t="s">
        <v>68</v>
      </c>
      <c r="B243" s="65">
        <v>1312</v>
      </c>
      <c r="C243" s="206">
        <f>C244</f>
        <v>9511693.6</v>
      </c>
      <c r="D243" s="206">
        <f>D244</f>
        <v>6848876.6</v>
      </c>
      <c r="E243" s="206">
        <f>E244</f>
        <v>8447574.094</v>
      </c>
      <c r="F243" s="205">
        <f t="shared" si="7"/>
        <v>1598697.4940000009</v>
      </c>
      <c r="G243" s="150">
        <f t="shared" si="8"/>
        <v>123.34247771379032</v>
      </c>
    </row>
    <row r="244" spans="1:7" ht="12.75">
      <c r="A244" s="66" t="s">
        <v>68</v>
      </c>
      <c r="B244" s="65">
        <v>13121</v>
      </c>
      <c r="C244" s="206">
        <f>C245+C246</f>
        <v>9511693.6</v>
      </c>
      <c r="D244" s="206">
        <f>D245+D246</f>
        <v>6848876.6</v>
      </c>
      <c r="E244" s="206">
        <f>E245+E246</f>
        <v>8447574.094</v>
      </c>
      <c r="F244" s="205">
        <f t="shared" si="7"/>
        <v>1598697.4940000009</v>
      </c>
      <c r="G244" s="150">
        <f t="shared" si="8"/>
        <v>123.34247771379032</v>
      </c>
    </row>
    <row r="245" spans="1:7" ht="12.75">
      <c r="A245" s="67" t="s">
        <v>66</v>
      </c>
      <c r="B245" s="56">
        <v>13121100</v>
      </c>
      <c r="C245" s="208">
        <v>9511693.6</v>
      </c>
      <c r="D245" s="208">
        <v>6848876.6</v>
      </c>
      <c r="E245" s="208">
        <f>3853131.994+4594442.1</f>
        <v>8447574.094</v>
      </c>
      <c r="F245" s="203">
        <f t="shared" si="7"/>
        <v>1598697.4940000009</v>
      </c>
      <c r="G245" s="151">
        <f t="shared" si="8"/>
        <v>123.34247771379032</v>
      </c>
    </row>
    <row r="246" spans="1:7" ht="12.75" hidden="1">
      <c r="A246" s="67" t="s">
        <v>67</v>
      </c>
      <c r="B246" s="56">
        <v>13121200</v>
      </c>
      <c r="C246" s="208"/>
      <c r="D246" s="208"/>
      <c r="E246" s="208"/>
      <c r="F246" s="203">
        <f t="shared" si="7"/>
        <v>0</v>
      </c>
      <c r="G246" s="151" t="e">
        <f t="shared" si="8"/>
        <v>#DIV/0!</v>
      </c>
    </row>
    <row r="247" spans="1:7" ht="12.75">
      <c r="A247" s="66" t="s">
        <v>69</v>
      </c>
      <c r="B247" s="65">
        <v>133</v>
      </c>
      <c r="C247" s="344">
        <f>C248+C253</f>
        <v>0</v>
      </c>
      <c r="D247" s="344">
        <f>D248+D253</f>
        <v>0</v>
      </c>
      <c r="E247" s="206">
        <f>E248+E253</f>
        <v>1600</v>
      </c>
      <c r="F247" s="205">
        <f t="shared" si="7"/>
        <v>1600</v>
      </c>
      <c r="G247" s="342" t="e">
        <f t="shared" si="8"/>
        <v>#DIV/0!</v>
      </c>
    </row>
    <row r="248" spans="1:7" ht="12.75" hidden="1">
      <c r="A248" s="66" t="s">
        <v>12</v>
      </c>
      <c r="B248" s="65">
        <v>1331</v>
      </c>
      <c r="C248" s="344">
        <f>C249</f>
        <v>0</v>
      </c>
      <c r="D248" s="344">
        <f>D249</f>
        <v>0</v>
      </c>
      <c r="E248" s="344">
        <f>E249</f>
        <v>0</v>
      </c>
      <c r="F248" s="341">
        <f t="shared" si="7"/>
        <v>0</v>
      </c>
      <c r="G248" s="342" t="e">
        <f t="shared" si="8"/>
        <v>#DIV/0!</v>
      </c>
    </row>
    <row r="249" spans="1:7" ht="12.75" hidden="1">
      <c r="A249" s="66" t="s">
        <v>12</v>
      </c>
      <c r="B249" s="65">
        <v>13311</v>
      </c>
      <c r="C249" s="345">
        <f>C250+C251+C252</f>
        <v>0</v>
      </c>
      <c r="D249" s="345">
        <f>D250+D251+D252</f>
        <v>0</v>
      </c>
      <c r="E249" s="345">
        <f>E250+E251+E252</f>
        <v>0</v>
      </c>
      <c r="F249" s="341">
        <f t="shared" si="7"/>
        <v>0</v>
      </c>
      <c r="G249" s="342" t="e">
        <f t="shared" si="8"/>
        <v>#DIV/0!</v>
      </c>
    </row>
    <row r="250" spans="1:7" ht="12.75" hidden="1">
      <c r="A250" s="67" t="s">
        <v>15</v>
      </c>
      <c r="B250" s="56">
        <v>13311100</v>
      </c>
      <c r="C250" s="208"/>
      <c r="D250" s="208"/>
      <c r="E250" s="208"/>
      <c r="F250" s="203">
        <f t="shared" si="7"/>
        <v>0</v>
      </c>
      <c r="G250" s="151" t="e">
        <f t="shared" si="8"/>
        <v>#DIV/0!</v>
      </c>
    </row>
    <row r="251" spans="1:7" ht="12.75" hidden="1">
      <c r="A251" s="67" t="s">
        <v>70</v>
      </c>
      <c r="B251" s="56">
        <v>13311200</v>
      </c>
      <c r="C251" s="208"/>
      <c r="D251" s="208"/>
      <c r="E251" s="208"/>
      <c r="F251" s="337">
        <f t="shared" si="7"/>
        <v>0</v>
      </c>
      <c r="G251" s="338" t="e">
        <f t="shared" si="8"/>
        <v>#DIV/0!</v>
      </c>
    </row>
    <row r="252" spans="1:7" ht="12.75" hidden="1">
      <c r="A252" s="67" t="s">
        <v>71</v>
      </c>
      <c r="B252" s="56">
        <v>13311300</v>
      </c>
      <c r="C252" s="208"/>
      <c r="D252" s="208"/>
      <c r="E252" s="208"/>
      <c r="F252" s="203">
        <f t="shared" si="7"/>
        <v>0</v>
      </c>
      <c r="G252" s="151" t="e">
        <f t="shared" si="8"/>
        <v>#DIV/0!</v>
      </c>
    </row>
    <row r="253" spans="1:7" ht="12.75">
      <c r="A253" s="66" t="s">
        <v>341</v>
      </c>
      <c r="B253" s="65">
        <v>1332</v>
      </c>
      <c r="C253" s="344">
        <f>C254</f>
        <v>0</v>
      </c>
      <c r="D253" s="344">
        <f>D254</f>
        <v>0</v>
      </c>
      <c r="E253" s="206">
        <f>E254</f>
        <v>1600</v>
      </c>
      <c r="F253" s="205">
        <f t="shared" si="7"/>
        <v>1600</v>
      </c>
      <c r="G253" s="342" t="e">
        <f t="shared" si="8"/>
        <v>#DIV/0!</v>
      </c>
    </row>
    <row r="254" spans="1:7" ht="12.75">
      <c r="A254" s="66" t="s">
        <v>341</v>
      </c>
      <c r="B254" s="65">
        <v>13321</v>
      </c>
      <c r="C254" s="344">
        <f>C255+C256+C257+C258</f>
        <v>0</v>
      </c>
      <c r="D254" s="344">
        <f>D255+D256+D257+D258</f>
        <v>0</v>
      </c>
      <c r="E254" s="206">
        <f>E255+E256+E257+E258</f>
        <v>1600</v>
      </c>
      <c r="F254" s="205">
        <f t="shared" si="7"/>
        <v>1600</v>
      </c>
      <c r="G254" s="342" t="e">
        <f t="shared" si="8"/>
        <v>#DIV/0!</v>
      </c>
    </row>
    <row r="255" spans="1:7" ht="22.5" hidden="1">
      <c r="A255" s="67" t="s">
        <v>368</v>
      </c>
      <c r="B255" s="56">
        <v>13321100</v>
      </c>
      <c r="C255" s="208"/>
      <c r="D255" s="208"/>
      <c r="E255" s="208"/>
      <c r="F255" s="203">
        <f t="shared" si="7"/>
        <v>0</v>
      </c>
      <c r="G255" s="338" t="e">
        <f t="shared" si="8"/>
        <v>#DIV/0!</v>
      </c>
    </row>
    <row r="256" spans="1:7" ht="22.5" hidden="1">
      <c r="A256" s="67" t="s">
        <v>369</v>
      </c>
      <c r="B256" s="56">
        <v>13321200</v>
      </c>
      <c r="C256" s="208"/>
      <c r="D256" s="208"/>
      <c r="E256" s="208"/>
      <c r="F256" s="203">
        <f t="shared" si="7"/>
        <v>0</v>
      </c>
      <c r="G256" s="338" t="e">
        <f t="shared" si="8"/>
        <v>#DIV/0!</v>
      </c>
    </row>
    <row r="257" spans="1:7" ht="22.5" hidden="1">
      <c r="A257" s="67" t="s">
        <v>370</v>
      </c>
      <c r="B257" s="56">
        <v>13321300</v>
      </c>
      <c r="C257" s="208"/>
      <c r="D257" s="208"/>
      <c r="E257" s="208"/>
      <c r="F257" s="337">
        <f t="shared" si="7"/>
        <v>0</v>
      </c>
      <c r="G257" s="338" t="e">
        <f t="shared" si="8"/>
        <v>#DIV/0!</v>
      </c>
    </row>
    <row r="258" spans="1:7" ht="12.75">
      <c r="A258" s="67" t="s">
        <v>342</v>
      </c>
      <c r="B258" s="56">
        <v>13321400</v>
      </c>
      <c r="C258" s="208"/>
      <c r="D258" s="208"/>
      <c r="E258" s="208">
        <v>1600</v>
      </c>
      <c r="F258" s="203">
        <f t="shared" si="7"/>
        <v>1600</v>
      </c>
      <c r="G258" s="338" t="e">
        <f t="shared" si="8"/>
        <v>#DIV/0!</v>
      </c>
    </row>
    <row r="259" spans="1:7" ht="12.75">
      <c r="A259" s="66" t="s">
        <v>10</v>
      </c>
      <c r="B259" s="65">
        <v>14</v>
      </c>
      <c r="C259" s="206">
        <f>C262+C294+C394+C403+C409</f>
        <v>20694322</v>
      </c>
      <c r="D259" s="206">
        <f>D262+D294+D394+D403+D409</f>
        <v>27627075.4</v>
      </c>
      <c r="E259" s="206">
        <f>E262+E294+E394+E403+E409</f>
        <v>27363939.854999993</v>
      </c>
      <c r="F259" s="205">
        <f t="shared" si="7"/>
        <v>-263135.5450000055</v>
      </c>
      <c r="G259" s="150">
        <f t="shared" si="8"/>
        <v>99.04754469595429</v>
      </c>
    </row>
    <row r="260" spans="1:7" ht="12.75">
      <c r="A260" s="179" t="s">
        <v>358</v>
      </c>
      <c r="B260" s="65"/>
      <c r="C260" s="202">
        <v>1318948.1</v>
      </c>
      <c r="D260" s="208">
        <v>1318948.1</v>
      </c>
      <c r="E260" s="208">
        <v>2671825.882</v>
      </c>
      <c r="F260" s="203">
        <f t="shared" si="7"/>
        <v>1352877.7820000001</v>
      </c>
      <c r="G260" s="151">
        <f t="shared" si="8"/>
        <v>202.5724804486242</v>
      </c>
    </row>
    <row r="261" spans="1:7" ht="12.75">
      <c r="A261" s="179" t="s">
        <v>525</v>
      </c>
      <c r="B261" s="65"/>
      <c r="C261" s="202">
        <v>8685238.1</v>
      </c>
      <c r="D261" s="202">
        <v>10125533.5</v>
      </c>
      <c r="E261" s="208">
        <f>9256508.407+247535.178</f>
        <v>9504043.584999999</v>
      </c>
      <c r="F261" s="203">
        <f t="shared" si="7"/>
        <v>-621489.915000001</v>
      </c>
      <c r="G261" s="151">
        <f t="shared" si="8"/>
        <v>93.86215141157747</v>
      </c>
    </row>
    <row r="262" spans="1:7" ht="12.75">
      <c r="A262" s="66" t="s">
        <v>72</v>
      </c>
      <c r="B262" s="65">
        <v>141</v>
      </c>
      <c r="C262" s="206">
        <f>C263+C268+C274</f>
        <v>6459077.6</v>
      </c>
      <c r="D262" s="206">
        <f>D263+D268+D274</f>
        <v>6719702.699999999</v>
      </c>
      <c r="E262" s="206">
        <f>E263+E268+E274</f>
        <v>6992590.255999999</v>
      </c>
      <c r="F262" s="205">
        <f t="shared" si="7"/>
        <v>272887.55599999987</v>
      </c>
      <c r="G262" s="150">
        <f t="shared" si="8"/>
        <v>104.06100638946423</v>
      </c>
    </row>
    <row r="263" spans="1:7" ht="12.75">
      <c r="A263" s="66" t="s">
        <v>73</v>
      </c>
      <c r="B263" s="65">
        <v>1411</v>
      </c>
      <c r="C263" s="210">
        <f>C264+C266</f>
        <v>1031240.9</v>
      </c>
      <c r="D263" s="210">
        <f>D264+D266</f>
        <v>743204</v>
      </c>
      <c r="E263" s="210">
        <f>E264+E266</f>
        <v>881719.743</v>
      </c>
      <c r="F263" s="205">
        <f t="shared" si="7"/>
        <v>138515.74300000002</v>
      </c>
      <c r="G263" s="150">
        <f t="shared" si="8"/>
        <v>118.63764767143341</v>
      </c>
    </row>
    <row r="264" spans="1:7" ht="12.75">
      <c r="A264" s="66" t="s">
        <v>74</v>
      </c>
      <c r="B264" s="65">
        <v>14111</v>
      </c>
      <c r="C264" s="344">
        <f>C265</f>
        <v>0</v>
      </c>
      <c r="D264" s="206">
        <f>D265</f>
        <v>6504</v>
      </c>
      <c r="E264" s="344">
        <f>E265</f>
        <v>0</v>
      </c>
      <c r="F264" s="205">
        <f aca="true" t="shared" si="11" ref="F264:F327">E264-D264</f>
        <v>-6504</v>
      </c>
      <c r="G264" s="342">
        <f aca="true" t="shared" si="12" ref="G264:G327">E264/D264*100</f>
        <v>0</v>
      </c>
    </row>
    <row r="265" spans="1:7" ht="12" customHeight="1">
      <c r="A265" s="67" t="s">
        <v>75</v>
      </c>
      <c r="B265" s="56">
        <v>14111100</v>
      </c>
      <c r="C265" s="208"/>
      <c r="D265" s="208">
        <v>6504</v>
      </c>
      <c r="E265" s="208"/>
      <c r="F265" s="203">
        <f t="shared" si="11"/>
        <v>-6504</v>
      </c>
      <c r="G265" s="338">
        <f t="shared" si="12"/>
        <v>0</v>
      </c>
    </row>
    <row r="266" spans="1:7" ht="12.75">
      <c r="A266" s="66" t="s">
        <v>77</v>
      </c>
      <c r="B266" s="65">
        <v>14112</v>
      </c>
      <c r="C266" s="206">
        <f>C267</f>
        <v>1031240.9</v>
      </c>
      <c r="D266" s="206">
        <f>D267</f>
        <v>736700</v>
      </c>
      <c r="E266" s="206">
        <f>E267</f>
        <v>881719.743</v>
      </c>
      <c r="F266" s="205">
        <f t="shared" si="11"/>
        <v>145019.74300000002</v>
      </c>
      <c r="G266" s="150">
        <f t="shared" si="12"/>
        <v>119.68504723768156</v>
      </c>
    </row>
    <row r="267" spans="1:7" ht="12.75">
      <c r="A267" s="67" t="s">
        <v>77</v>
      </c>
      <c r="B267" s="56">
        <v>14112100</v>
      </c>
      <c r="C267" s="208">
        <v>1031240.9</v>
      </c>
      <c r="D267" s="208">
        <v>736700</v>
      </c>
      <c r="E267" s="208">
        <v>881719.743</v>
      </c>
      <c r="F267" s="203">
        <f t="shared" si="11"/>
        <v>145019.74300000002</v>
      </c>
      <c r="G267" s="151">
        <f t="shared" si="12"/>
        <v>119.68504723768156</v>
      </c>
    </row>
    <row r="268" spans="1:7" ht="12.75">
      <c r="A268" s="66" t="s">
        <v>78</v>
      </c>
      <c r="B268" s="65">
        <v>1412</v>
      </c>
      <c r="C268" s="206">
        <f>C269+C271</f>
        <v>5067811.1</v>
      </c>
      <c r="D268" s="206">
        <f>D269+D271</f>
        <v>5816473.1</v>
      </c>
      <c r="E268" s="206">
        <f>E269+E271</f>
        <v>5086367.27</v>
      </c>
      <c r="F268" s="205">
        <f t="shared" si="11"/>
        <v>-730105.8300000001</v>
      </c>
      <c r="G268" s="150">
        <f t="shared" si="12"/>
        <v>87.44761958926621</v>
      </c>
    </row>
    <row r="269" spans="1:7" ht="12.75">
      <c r="A269" s="66" t="s">
        <v>79</v>
      </c>
      <c r="B269" s="65">
        <v>14121</v>
      </c>
      <c r="C269" s="210">
        <f>C270</f>
        <v>1610181.8</v>
      </c>
      <c r="D269" s="210">
        <f>D270</f>
        <v>2826047.8</v>
      </c>
      <c r="E269" s="210">
        <f>E270</f>
        <v>2176269.803</v>
      </c>
      <c r="F269" s="205">
        <f t="shared" si="11"/>
        <v>-649777.997</v>
      </c>
      <c r="G269" s="150">
        <f t="shared" si="12"/>
        <v>77.00753692135002</v>
      </c>
    </row>
    <row r="270" spans="1:7" ht="12.75">
      <c r="A270" s="67" t="s">
        <v>80</v>
      </c>
      <c r="B270" s="56">
        <v>14121100</v>
      </c>
      <c r="C270" s="208">
        <v>1610181.8</v>
      </c>
      <c r="D270" s="208">
        <v>2826047.8</v>
      </c>
      <c r="E270" s="208">
        <v>2176269.803</v>
      </c>
      <c r="F270" s="203">
        <f t="shared" si="11"/>
        <v>-649777.997</v>
      </c>
      <c r="G270" s="151">
        <f t="shared" si="12"/>
        <v>77.00753692135002</v>
      </c>
    </row>
    <row r="271" spans="1:7" ht="12.75">
      <c r="A271" s="66" t="s">
        <v>81</v>
      </c>
      <c r="B271" s="65">
        <v>14122</v>
      </c>
      <c r="C271" s="210">
        <f>C272+C273</f>
        <v>3457629.3</v>
      </c>
      <c r="D271" s="210">
        <f>D272+D273</f>
        <v>2990425.3</v>
      </c>
      <c r="E271" s="210">
        <f>E272+E273</f>
        <v>2910097.467</v>
      </c>
      <c r="F271" s="205">
        <f t="shared" si="11"/>
        <v>-80327.83299999963</v>
      </c>
      <c r="G271" s="150">
        <f t="shared" si="12"/>
        <v>97.3138324839614</v>
      </c>
    </row>
    <row r="272" spans="1:7" ht="12.75">
      <c r="A272" s="67" t="s">
        <v>82</v>
      </c>
      <c r="B272" s="56">
        <v>14122100</v>
      </c>
      <c r="C272" s="208">
        <v>3000000</v>
      </c>
      <c r="D272" s="208">
        <v>2643996</v>
      </c>
      <c r="E272" s="208">
        <v>2643996.333</v>
      </c>
      <c r="F272" s="203">
        <f t="shared" si="11"/>
        <v>0.33300000010058284</v>
      </c>
      <c r="G272" s="151">
        <f t="shared" si="12"/>
        <v>100.00001259457277</v>
      </c>
    </row>
    <row r="273" spans="1:7" ht="12.75">
      <c r="A273" s="67" t="s">
        <v>359</v>
      </c>
      <c r="B273" s="56">
        <v>14122200</v>
      </c>
      <c r="C273" s="208">
        <v>457629.3</v>
      </c>
      <c r="D273" s="208">
        <v>346429.3</v>
      </c>
      <c r="E273" s="208">
        <v>266101.134</v>
      </c>
      <c r="F273" s="203">
        <f t="shared" si="11"/>
        <v>-80328.16599999997</v>
      </c>
      <c r="G273" s="151">
        <f t="shared" si="12"/>
        <v>76.8125369303347</v>
      </c>
    </row>
    <row r="274" spans="1:7" ht="12.75">
      <c r="A274" s="66" t="s">
        <v>571</v>
      </c>
      <c r="B274" s="65">
        <v>1415</v>
      </c>
      <c r="C274" s="210">
        <f>C275+C278+C288+C292</f>
        <v>360025.6</v>
      </c>
      <c r="D274" s="210">
        <f>D275+D278+D288+D292</f>
        <v>160025.6</v>
      </c>
      <c r="E274" s="210">
        <f>E275+E278+E288+E292</f>
        <v>1024503.243</v>
      </c>
      <c r="F274" s="205">
        <f t="shared" si="11"/>
        <v>864477.643</v>
      </c>
      <c r="G274" s="342">
        <f t="shared" si="12"/>
        <v>640.2120929401295</v>
      </c>
    </row>
    <row r="275" spans="1:7" ht="21">
      <c r="A275" s="66" t="s">
        <v>526</v>
      </c>
      <c r="B275" s="65">
        <v>14151</v>
      </c>
      <c r="C275" s="206">
        <f>C276+C277</f>
        <v>300000</v>
      </c>
      <c r="D275" s="206">
        <f>D276+D277</f>
        <v>100000</v>
      </c>
      <c r="E275" s="206">
        <f>E276+E277</f>
        <v>85281.747</v>
      </c>
      <c r="F275" s="205">
        <f t="shared" si="11"/>
        <v>-14718.252999999997</v>
      </c>
      <c r="G275" s="150">
        <f t="shared" si="12"/>
        <v>85.28174700000001</v>
      </c>
    </row>
    <row r="276" spans="1:7" ht="22.5">
      <c r="A276" s="67" t="s">
        <v>576</v>
      </c>
      <c r="B276" s="56">
        <v>14151100</v>
      </c>
      <c r="C276" s="208">
        <v>300000</v>
      </c>
      <c r="D276" s="208">
        <v>100000</v>
      </c>
      <c r="E276" s="208">
        <v>68107.124</v>
      </c>
      <c r="F276" s="203">
        <f t="shared" si="11"/>
        <v>-31892.876000000004</v>
      </c>
      <c r="G276" s="151">
        <f t="shared" si="12"/>
        <v>68.107124</v>
      </c>
    </row>
    <row r="277" spans="1:7" ht="12.75">
      <c r="A277" s="67" t="s">
        <v>371</v>
      </c>
      <c r="B277" s="56">
        <v>14151200</v>
      </c>
      <c r="C277" s="208"/>
      <c r="D277" s="208"/>
      <c r="E277" s="208">
        <v>17174.623</v>
      </c>
      <c r="F277" s="203">
        <f t="shared" si="11"/>
        <v>17174.623</v>
      </c>
      <c r="G277" s="338" t="e">
        <f t="shared" si="12"/>
        <v>#DIV/0!</v>
      </c>
    </row>
    <row r="278" spans="1:7" ht="12.75">
      <c r="A278" s="66" t="s">
        <v>83</v>
      </c>
      <c r="B278" s="65">
        <v>14152</v>
      </c>
      <c r="C278" s="345">
        <f>C279+C280+C281+C282+C283+C284+C285+C286+C287</f>
        <v>0</v>
      </c>
      <c r="D278" s="345">
        <f>D279+D280+D281+D282+D283+D284+D285+D286+D287</f>
        <v>0</v>
      </c>
      <c r="E278" s="210">
        <f>E279+E280+E281+E282+E283+E284+E285+E286+E287</f>
        <v>101689.187</v>
      </c>
      <c r="F278" s="205">
        <f t="shared" si="11"/>
        <v>101689.187</v>
      </c>
      <c r="G278" s="342" t="e">
        <f t="shared" si="12"/>
        <v>#DIV/0!</v>
      </c>
    </row>
    <row r="279" spans="1:7" ht="12.75" hidden="1">
      <c r="A279" s="67" t="s">
        <v>343</v>
      </c>
      <c r="B279" s="56">
        <v>14152100</v>
      </c>
      <c r="C279" s="208"/>
      <c r="D279" s="208"/>
      <c r="E279" s="208"/>
      <c r="F279" s="337">
        <f t="shared" si="11"/>
        <v>0</v>
      </c>
      <c r="G279" s="338" t="e">
        <f t="shared" si="12"/>
        <v>#DIV/0!</v>
      </c>
    </row>
    <row r="280" spans="1:7" ht="12.75" hidden="1">
      <c r="A280" s="67" t="s">
        <v>572</v>
      </c>
      <c r="B280" s="56">
        <v>14152200</v>
      </c>
      <c r="C280" s="208"/>
      <c r="D280" s="208"/>
      <c r="E280" s="208"/>
      <c r="F280" s="337">
        <f t="shared" si="11"/>
        <v>0</v>
      </c>
      <c r="G280" s="338" t="e">
        <f t="shared" si="12"/>
        <v>#DIV/0!</v>
      </c>
    </row>
    <row r="281" spans="1:7" ht="12.75" hidden="1">
      <c r="A281" s="67" t="s">
        <v>344</v>
      </c>
      <c r="B281" s="56">
        <v>14152300</v>
      </c>
      <c r="C281" s="208"/>
      <c r="D281" s="208"/>
      <c r="E281" s="208"/>
      <c r="F281" s="337">
        <f t="shared" si="11"/>
        <v>0</v>
      </c>
      <c r="G281" s="338" t="e">
        <f t="shared" si="12"/>
        <v>#DIV/0!</v>
      </c>
    </row>
    <row r="282" spans="1:7" ht="12.75" hidden="1">
      <c r="A282" s="67" t="s">
        <v>345</v>
      </c>
      <c r="B282" s="56">
        <v>14152400</v>
      </c>
      <c r="C282" s="208"/>
      <c r="D282" s="208"/>
      <c r="E282" s="208"/>
      <c r="F282" s="337">
        <f t="shared" si="11"/>
        <v>0</v>
      </c>
      <c r="G282" s="338" t="e">
        <f t="shared" si="12"/>
        <v>#DIV/0!</v>
      </c>
    </row>
    <row r="283" spans="1:7" ht="12.75" hidden="1">
      <c r="A283" s="67" t="s">
        <v>346</v>
      </c>
      <c r="B283" s="56">
        <v>14152500</v>
      </c>
      <c r="C283" s="208"/>
      <c r="D283" s="208"/>
      <c r="E283" s="208"/>
      <c r="F283" s="337">
        <f t="shared" si="11"/>
        <v>0</v>
      </c>
      <c r="G283" s="338" t="e">
        <f t="shared" si="12"/>
        <v>#DIV/0!</v>
      </c>
    </row>
    <row r="284" spans="1:7" ht="12.75" hidden="1">
      <c r="A284" s="67" t="s">
        <v>84</v>
      </c>
      <c r="B284" s="56">
        <v>14152600</v>
      </c>
      <c r="C284" s="208"/>
      <c r="D284" s="208"/>
      <c r="E284" s="208"/>
      <c r="F284" s="337">
        <f t="shared" si="11"/>
        <v>0</v>
      </c>
      <c r="G284" s="338" t="e">
        <f t="shared" si="12"/>
        <v>#DIV/0!</v>
      </c>
    </row>
    <row r="285" spans="1:7" ht="12.75" hidden="1">
      <c r="A285" s="67" t="s">
        <v>85</v>
      </c>
      <c r="B285" s="56">
        <v>14152700</v>
      </c>
      <c r="C285" s="208"/>
      <c r="D285" s="208"/>
      <c r="E285" s="208"/>
      <c r="F285" s="337">
        <f t="shared" si="11"/>
        <v>0</v>
      </c>
      <c r="G285" s="338" t="e">
        <f t="shared" si="12"/>
        <v>#DIV/0!</v>
      </c>
    </row>
    <row r="286" spans="1:7" ht="12.75" hidden="1">
      <c r="A286" s="67" t="s">
        <v>86</v>
      </c>
      <c r="B286" s="56">
        <v>14152800</v>
      </c>
      <c r="C286" s="208"/>
      <c r="D286" s="208"/>
      <c r="E286" s="208"/>
      <c r="F286" s="337">
        <f t="shared" si="11"/>
        <v>0</v>
      </c>
      <c r="G286" s="338" t="e">
        <f t="shared" si="12"/>
        <v>#DIV/0!</v>
      </c>
    </row>
    <row r="287" spans="1:7" ht="12.75">
      <c r="A287" s="67" t="s">
        <v>87</v>
      </c>
      <c r="B287" s="56">
        <v>14152900</v>
      </c>
      <c r="C287" s="208"/>
      <c r="D287" s="208"/>
      <c r="E287" s="208">
        <v>101689.187</v>
      </c>
      <c r="F287" s="203">
        <f t="shared" si="11"/>
        <v>101689.187</v>
      </c>
      <c r="G287" s="338" t="e">
        <f t="shared" si="12"/>
        <v>#DIV/0!</v>
      </c>
    </row>
    <row r="288" spans="1:7" ht="12.75">
      <c r="A288" s="66" t="s">
        <v>347</v>
      </c>
      <c r="B288" s="65">
        <v>14153</v>
      </c>
      <c r="C288" s="209">
        <f>C289+C290+C291</f>
        <v>60025.6</v>
      </c>
      <c r="D288" s="209">
        <f>D289+D290+D291</f>
        <v>60025.6</v>
      </c>
      <c r="E288" s="209">
        <f>E289+E290+E291</f>
        <v>428054.569</v>
      </c>
      <c r="F288" s="205">
        <f t="shared" si="11"/>
        <v>368028.96900000004</v>
      </c>
      <c r="G288" s="342">
        <f t="shared" si="12"/>
        <v>713.1200171260263</v>
      </c>
    </row>
    <row r="289" spans="1:7" ht="22.5">
      <c r="A289" s="67" t="s">
        <v>348</v>
      </c>
      <c r="B289" s="56">
        <v>14153100</v>
      </c>
      <c r="C289" s="208">
        <v>60025.6</v>
      </c>
      <c r="D289" s="208">
        <v>60025.6</v>
      </c>
      <c r="E289" s="208">
        <v>115261.462</v>
      </c>
      <c r="F289" s="203">
        <f t="shared" si="11"/>
        <v>55235.862</v>
      </c>
      <c r="G289" s="151">
        <f t="shared" si="12"/>
        <v>192.02050791662225</v>
      </c>
    </row>
    <row r="290" spans="1:7" ht="22.5" hidden="1">
      <c r="A290" s="67" t="s">
        <v>349</v>
      </c>
      <c r="B290" s="56">
        <v>14153200</v>
      </c>
      <c r="C290" s="208"/>
      <c r="D290" s="208"/>
      <c r="E290" s="208"/>
      <c r="F290" s="337">
        <f t="shared" si="11"/>
        <v>0</v>
      </c>
      <c r="G290" s="338" t="e">
        <f t="shared" si="12"/>
        <v>#DIV/0!</v>
      </c>
    </row>
    <row r="291" spans="1:7" ht="12.75">
      <c r="A291" s="67" t="s">
        <v>281</v>
      </c>
      <c r="B291" s="56">
        <v>14153900</v>
      </c>
      <c r="C291" s="208"/>
      <c r="D291" s="208"/>
      <c r="E291" s="208">
        <v>312793.107</v>
      </c>
      <c r="F291" s="203">
        <f t="shared" si="11"/>
        <v>312793.107</v>
      </c>
      <c r="G291" s="338" t="e">
        <f t="shared" si="12"/>
        <v>#DIV/0!</v>
      </c>
    </row>
    <row r="292" spans="1:7" ht="12.75">
      <c r="A292" s="66" t="s">
        <v>527</v>
      </c>
      <c r="B292" s="65">
        <v>14154</v>
      </c>
      <c r="C292" s="340">
        <f>C293</f>
        <v>0</v>
      </c>
      <c r="D292" s="340">
        <f>D293</f>
        <v>0</v>
      </c>
      <c r="E292" s="209">
        <f>E293</f>
        <v>409477.74</v>
      </c>
      <c r="F292" s="205">
        <f t="shared" si="11"/>
        <v>409477.74</v>
      </c>
      <c r="G292" s="342" t="e">
        <f t="shared" si="12"/>
        <v>#DIV/0!</v>
      </c>
    </row>
    <row r="293" spans="1:7" ht="22.5">
      <c r="A293" s="67" t="s">
        <v>528</v>
      </c>
      <c r="B293" s="56">
        <v>14154100</v>
      </c>
      <c r="C293" s="208"/>
      <c r="D293" s="208"/>
      <c r="E293" s="208">
        <v>409477.74</v>
      </c>
      <c r="F293" s="203">
        <f t="shared" si="11"/>
        <v>409477.74</v>
      </c>
      <c r="G293" s="338" t="e">
        <f t="shared" si="12"/>
        <v>#DIV/0!</v>
      </c>
    </row>
    <row r="294" spans="1:7" ht="12.75">
      <c r="A294" s="66" t="s">
        <v>372</v>
      </c>
      <c r="B294" s="65">
        <v>142</v>
      </c>
      <c r="C294" s="206">
        <f>C295+C316</f>
        <v>10758307.9</v>
      </c>
      <c r="D294" s="206">
        <f>D295+D316</f>
        <v>12206815.2</v>
      </c>
      <c r="E294" s="206">
        <f>E295+E316</f>
        <v>11169003.665</v>
      </c>
      <c r="F294" s="205">
        <f t="shared" si="11"/>
        <v>-1037811.5350000001</v>
      </c>
      <c r="G294" s="150">
        <f t="shared" si="12"/>
        <v>91.49809743167079</v>
      </c>
    </row>
    <row r="295" spans="1:7" ht="12.75">
      <c r="A295" s="66" t="s">
        <v>14</v>
      </c>
      <c r="B295" s="65">
        <v>1422</v>
      </c>
      <c r="C295" s="210">
        <f>C296+C306+C312</f>
        <v>2073069.8</v>
      </c>
      <c r="D295" s="210">
        <f>D296+D306+D312</f>
        <v>2081281.7000000002</v>
      </c>
      <c r="E295" s="210">
        <f>E296+E306+E312</f>
        <v>2525260.927</v>
      </c>
      <c r="F295" s="205">
        <f t="shared" si="11"/>
        <v>443979.22699999996</v>
      </c>
      <c r="G295" s="150">
        <f t="shared" si="12"/>
        <v>121.33201031844945</v>
      </c>
    </row>
    <row r="296" spans="1:7" ht="12.75">
      <c r="A296" s="66" t="s">
        <v>529</v>
      </c>
      <c r="B296" s="65">
        <v>14221</v>
      </c>
      <c r="C296" s="206">
        <f>C297+C298+C299+C300+C301+C302+C303+C304+C305</f>
        <v>1828774.3</v>
      </c>
      <c r="D296" s="206">
        <f>D297+D298+D299+D300+D301+D302+D303+D304+D305</f>
        <v>1806986.2000000002</v>
      </c>
      <c r="E296" s="206">
        <f>E297+E298+E299+E300+E301+E302+E303+E304+E305</f>
        <v>2155361.21</v>
      </c>
      <c r="F296" s="205">
        <f t="shared" si="11"/>
        <v>348375.0099999998</v>
      </c>
      <c r="G296" s="150">
        <f t="shared" si="12"/>
        <v>119.27933982008273</v>
      </c>
    </row>
    <row r="297" spans="1:7" ht="12.75">
      <c r="A297" s="67" t="s">
        <v>88</v>
      </c>
      <c r="B297" s="56">
        <v>14221100</v>
      </c>
      <c r="C297" s="208">
        <v>18238</v>
      </c>
      <c r="D297" s="208">
        <v>18238</v>
      </c>
      <c r="E297" s="208">
        <v>17276.608</v>
      </c>
      <c r="F297" s="203">
        <f t="shared" si="11"/>
        <v>-961.3919999999998</v>
      </c>
      <c r="G297" s="151">
        <f t="shared" si="12"/>
        <v>94.72863252549621</v>
      </c>
    </row>
    <row r="298" spans="1:7" ht="12.75">
      <c r="A298" s="67" t="s">
        <v>89</v>
      </c>
      <c r="B298" s="56">
        <v>14221200</v>
      </c>
      <c r="C298" s="208">
        <f>190044+2340</f>
        <v>192384</v>
      </c>
      <c r="D298" s="208">
        <f>190044+8000</f>
        <v>198044</v>
      </c>
      <c r="E298" s="208">
        <v>121682.497</v>
      </c>
      <c r="F298" s="203">
        <f t="shared" si="11"/>
        <v>-76361.503</v>
      </c>
      <c r="G298" s="151">
        <f t="shared" si="12"/>
        <v>61.44215275393346</v>
      </c>
    </row>
    <row r="299" spans="1:7" ht="12.75">
      <c r="A299" s="67" t="s">
        <v>90</v>
      </c>
      <c r="B299" s="56">
        <v>14221300</v>
      </c>
      <c r="C299" s="208">
        <v>2820</v>
      </c>
      <c r="D299" s="208">
        <v>2820</v>
      </c>
      <c r="E299" s="208">
        <v>1</v>
      </c>
      <c r="F299" s="203">
        <f t="shared" si="11"/>
        <v>-2819</v>
      </c>
      <c r="G299" s="338">
        <f t="shared" si="12"/>
        <v>0.03546099290780142</v>
      </c>
    </row>
    <row r="300" spans="1:7" ht="12.75">
      <c r="A300" s="67" t="s">
        <v>26</v>
      </c>
      <c r="B300" s="56">
        <v>14221400</v>
      </c>
      <c r="C300" s="208">
        <v>754789</v>
      </c>
      <c r="D300" s="208">
        <v>467340.9</v>
      </c>
      <c r="E300" s="208">
        <v>485572.884</v>
      </c>
      <c r="F300" s="203">
        <f t="shared" si="11"/>
        <v>18231.983999999997</v>
      </c>
      <c r="G300" s="151">
        <f t="shared" si="12"/>
        <v>103.90121729127495</v>
      </c>
    </row>
    <row r="301" spans="1:7" ht="22.5">
      <c r="A301" s="67" t="s">
        <v>362</v>
      </c>
      <c r="B301" s="56">
        <v>14221500</v>
      </c>
      <c r="C301" s="208">
        <v>860543.3</v>
      </c>
      <c r="D301" s="208">
        <v>660543.3</v>
      </c>
      <c r="E301" s="208">
        <v>586969.466</v>
      </c>
      <c r="F301" s="203">
        <f t="shared" si="11"/>
        <v>-73573.83400000003</v>
      </c>
      <c r="G301" s="151">
        <f t="shared" si="12"/>
        <v>88.86161830723285</v>
      </c>
    </row>
    <row r="302" spans="1:7" ht="12.75">
      <c r="A302" s="67" t="s">
        <v>530</v>
      </c>
      <c r="B302" s="56">
        <v>14221600</v>
      </c>
      <c r="C302" s="208"/>
      <c r="D302" s="208">
        <v>210000</v>
      </c>
      <c r="E302" s="208">
        <v>207333.19</v>
      </c>
      <c r="F302" s="203">
        <f t="shared" si="11"/>
        <v>-2666.8099999999977</v>
      </c>
      <c r="G302" s="151">
        <f t="shared" si="12"/>
        <v>98.73009047619048</v>
      </c>
    </row>
    <row r="303" spans="1:7" ht="22.5">
      <c r="A303" s="67" t="s">
        <v>531</v>
      </c>
      <c r="B303" s="56">
        <v>14221700</v>
      </c>
      <c r="C303" s="202"/>
      <c r="D303" s="202">
        <v>250000</v>
      </c>
      <c r="E303" s="208">
        <v>251284.913</v>
      </c>
      <c r="F303" s="203">
        <f t="shared" si="11"/>
        <v>1284.9130000000005</v>
      </c>
      <c r="G303" s="151">
        <f t="shared" si="12"/>
        <v>100.5139652</v>
      </c>
    </row>
    <row r="304" spans="1:7" ht="12.75" hidden="1">
      <c r="A304" s="67" t="s">
        <v>351</v>
      </c>
      <c r="B304" s="56">
        <v>14221800</v>
      </c>
      <c r="C304" s="208"/>
      <c r="D304" s="208"/>
      <c r="E304" s="208"/>
      <c r="F304" s="203">
        <f t="shared" si="11"/>
        <v>0</v>
      </c>
      <c r="G304" s="151" t="e">
        <f t="shared" si="12"/>
        <v>#DIV/0!</v>
      </c>
    </row>
    <row r="305" spans="1:7" ht="12.75">
      <c r="A305" s="67" t="s">
        <v>532</v>
      </c>
      <c r="B305" s="56">
        <v>14221900</v>
      </c>
      <c r="C305" s="208"/>
      <c r="D305" s="208"/>
      <c r="E305" s="208">
        <v>485240.652</v>
      </c>
      <c r="F305" s="203">
        <f t="shared" si="11"/>
        <v>485240.652</v>
      </c>
      <c r="G305" s="338" t="e">
        <f t="shared" si="12"/>
        <v>#DIV/0!</v>
      </c>
    </row>
    <row r="306" spans="1:7" ht="12.75">
      <c r="A306" s="66" t="s">
        <v>91</v>
      </c>
      <c r="B306" s="65">
        <v>14222</v>
      </c>
      <c r="C306" s="206">
        <f>C307+C308+C309+C310+C311</f>
        <v>244295.5</v>
      </c>
      <c r="D306" s="206">
        <f>D307+D308+D309+D310+D311</f>
        <v>274295.5</v>
      </c>
      <c r="E306" s="206">
        <f>E307+E308+E309+E310+E311</f>
        <v>369897.84500000003</v>
      </c>
      <c r="F306" s="205">
        <f t="shared" si="11"/>
        <v>95602.34500000003</v>
      </c>
      <c r="G306" s="150">
        <f t="shared" si="12"/>
        <v>134.8537781334364</v>
      </c>
    </row>
    <row r="307" spans="1:7" ht="12.75">
      <c r="A307" s="67" t="s">
        <v>373</v>
      </c>
      <c r="B307" s="55" t="s">
        <v>92</v>
      </c>
      <c r="C307" s="208">
        <v>36670.5</v>
      </c>
      <c r="D307" s="208">
        <v>36670.5</v>
      </c>
      <c r="E307" s="208">
        <v>7225.146</v>
      </c>
      <c r="F307" s="203">
        <f t="shared" si="11"/>
        <v>-29445.354</v>
      </c>
      <c r="G307" s="151">
        <f t="shared" si="12"/>
        <v>19.702883789422014</v>
      </c>
    </row>
    <row r="308" spans="1:7" ht="12.75">
      <c r="A308" s="67" t="s">
        <v>93</v>
      </c>
      <c r="B308" s="55">
        <v>14222200</v>
      </c>
      <c r="C308" s="208">
        <v>171750</v>
      </c>
      <c r="D308" s="208">
        <v>171750</v>
      </c>
      <c r="E308" s="208">
        <v>158740.765</v>
      </c>
      <c r="F308" s="203">
        <f t="shared" si="11"/>
        <v>-13009.234999999986</v>
      </c>
      <c r="G308" s="151">
        <f t="shared" si="12"/>
        <v>92.42548180494906</v>
      </c>
    </row>
    <row r="309" spans="1:7" ht="12.75">
      <c r="A309" s="67" t="s">
        <v>95</v>
      </c>
      <c r="B309" s="55" t="s">
        <v>94</v>
      </c>
      <c r="C309" s="208">
        <v>35875</v>
      </c>
      <c r="D309" s="208">
        <v>65875</v>
      </c>
      <c r="E309" s="208">
        <v>128572.714</v>
      </c>
      <c r="F309" s="203">
        <f t="shared" si="11"/>
        <v>62697.71400000001</v>
      </c>
      <c r="G309" s="151">
        <f t="shared" si="12"/>
        <v>195.1767954459203</v>
      </c>
    </row>
    <row r="310" spans="1:7" ht="12.75">
      <c r="A310" s="67" t="s">
        <v>352</v>
      </c>
      <c r="B310" s="55">
        <v>14222400</v>
      </c>
      <c r="C310" s="208"/>
      <c r="D310" s="208"/>
      <c r="E310" s="208">
        <v>74402.358</v>
      </c>
      <c r="F310" s="203">
        <f t="shared" si="11"/>
        <v>74402.358</v>
      </c>
      <c r="G310" s="338" t="e">
        <f t="shared" si="12"/>
        <v>#DIV/0!</v>
      </c>
    </row>
    <row r="311" spans="1:7" ht="22.5">
      <c r="A311" s="67" t="s">
        <v>374</v>
      </c>
      <c r="B311" s="55">
        <v>14222500</v>
      </c>
      <c r="C311" s="208"/>
      <c r="D311" s="208"/>
      <c r="E311" s="208">
        <v>956.862</v>
      </c>
      <c r="F311" s="203">
        <f t="shared" si="11"/>
        <v>956.862</v>
      </c>
      <c r="G311" s="338" t="e">
        <f t="shared" si="12"/>
        <v>#DIV/0!</v>
      </c>
    </row>
    <row r="312" spans="1:7" ht="12.75">
      <c r="A312" s="66" t="s">
        <v>533</v>
      </c>
      <c r="B312" s="58">
        <v>14224</v>
      </c>
      <c r="C312" s="344">
        <f>C313+C314+C315</f>
        <v>0</v>
      </c>
      <c r="D312" s="344">
        <f>D313+D314+D315</f>
        <v>0</v>
      </c>
      <c r="E312" s="206">
        <f>E313+E314+E315</f>
        <v>1.872</v>
      </c>
      <c r="F312" s="205">
        <f t="shared" si="11"/>
        <v>1.872</v>
      </c>
      <c r="G312" s="342" t="e">
        <f t="shared" si="12"/>
        <v>#DIV/0!</v>
      </c>
    </row>
    <row r="313" spans="1:7" ht="22.5">
      <c r="A313" s="67" t="s">
        <v>534</v>
      </c>
      <c r="B313" s="55">
        <v>14224100</v>
      </c>
      <c r="C313" s="208"/>
      <c r="D313" s="208"/>
      <c r="E313" s="208">
        <v>1.872</v>
      </c>
      <c r="F313" s="203">
        <f t="shared" si="11"/>
        <v>1.872</v>
      </c>
      <c r="G313" s="338" t="e">
        <f t="shared" si="12"/>
        <v>#DIV/0!</v>
      </c>
    </row>
    <row r="314" spans="1:7" ht="12.75" hidden="1">
      <c r="A314" s="67" t="s">
        <v>350</v>
      </c>
      <c r="B314" s="55">
        <v>14224200</v>
      </c>
      <c r="C314" s="208"/>
      <c r="D314" s="208"/>
      <c r="E314" s="208"/>
      <c r="F314" s="337">
        <f t="shared" si="11"/>
        <v>0</v>
      </c>
      <c r="G314" s="338" t="e">
        <f t="shared" si="12"/>
        <v>#DIV/0!</v>
      </c>
    </row>
    <row r="315" spans="1:7" ht="12.75" hidden="1">
      <c r="A315" s="67" t="s">
        <v>351</v>
      </c>
      <c r="B315" s="55">
        <v>14224300</v>
      </c>
      <c r="C315" s="208"/>
      <c r="D315" s="208"/>
      <c r="E315" s="208"/>
      <c r="F315" s="337">
        <f t="shared" si="11"/>
        <v>0</v>
      </c>
      <c r="G315" s="338" t="e">
        <f t="shared" si="12"/>
        <v>#DIV/0!</v>
      </c>
    </row>
    <row r="316" spans="1:7" ht="12.75">
      <c r="A316" s="66" t="s">
        <v>96</v>
      </c>
      <c r="B316" s="65">
        <v>1423</v>
      </c>
      <c r="C316" s="210">
        <v>8685238.1</v>
      </c>
      <c r="D316" s="210">
        <v>10125533.5</v>
      </c>
      <c r="E316" s="210">
        <f>E317+E327+E337+E344+E353+E361+E369+E378+E387</f>
        <v>8643742.737999998</v>
      </c>
      <c r="F316" s="205">
        <f t="shared" si="11"/>
        <v>-1481790.762000002</v>
      </c>
      <c r="G316" s="150">
        <f t="shared" si="12"/>
        <v>85.36580060695071</v>
      </c>
    </row>
    <row r="317" spans="1:7" ht="12.75">
      <c r="A317" s="66" t="s">
        <v>375</v>
      </c>
      <c r="B317" s="65">
        <v>14231</v>
      </c>
      <c r="C317" s="344">
        <f>C318+C319+C320+C321+C322+C323+C324+C325+C326</f>
        <v>0</v>
      </c>
      <c r="D317" s="344">
        <f>D318+D319+D320+D321+D322+D323+D324+D325+D326</f>
        <v>0</v>
      </c>
      <c r="E317" s="206">
        <f>E318+E319+E320+E321+E322+E323+E324+E325+E326</f>
        <v>1245002.796</v>
      </c>
      <c r="F317" s="205">
        <f t="shared" si="11"/>
        <v>1245002.796</v>
      </c>
      <c r="G317" s="342" t="e">
        <f t="shared" si="12"/>
        <v>#DIV/0!</v>
      </c>
    </row>
    <row r="318" spans="1:7" ht="22.5">
      <c r="A318" s="67" t="s">
        <v>376</v>
      </c>
      <c r="B318" s="55" t="s">
        <v>97</v>
      </c>
      <c r="C318" s="208"/>
      <c r="D318" s="208"/>
      <c r="E318" s="208">
        <v>150969.417</v>
      </c>
      <c r="F318" s="203">
        <f t="shared" si="11"/>
        <v>150969.417</v>
      </c>
      <c r="G318" s="338" t="e">
        <f t="shared" si="12"/>
        <v>#DIV/0!</v>
      </c>
    </row>
    <row r="319" spans="1:7" ht="12.75">
      <c r="A319" s="67" t="s">
        <v>377</v>
      </c>
      <c r="B319" s="55" t="s">
        <v>98</v>
      </c>
      <c r="C319" s="208"/>
      <c r="D319" s="208"/>
      <c r="E319" s="208">
        <v>17929.339</v>
      </c>
      <c r="F319" s="203">
        <f t="shared" si="11"/>
        <v>17929.339</v>
      </c>
      <c r="G319" s="338" t="e">
        <f t="shared" si="12"/>
        <v>#DIV/0!</v>
      </c>
    </row>
    <row r="320" spans="1:7" ht="22.5">
      <c r="A320" s="67" t="s">
        <v>378</v>
      </c>
      <c r="B320" s="55" t="s">
        <v>99</v>
      </c>
      <c r="C320" s="208"/>
      <c r="D320" s="208"/>
      <c r="E320" s="208">
        <v>67849.58</v>
      </c>
      <c r="F320" s="203">
        <f t="shared" si="11"/>
        <v>67849.58</v>
      </c>
      <c r="G320" s="338" t="e">
        <f t="shared" si="12"/>
        <v>#DIV/0!</v>
      </c>
    </row>
    <row r="321" spans="1:7" ht="12.75">
      <c r="A321" s="67" t="s">
        <v>379</v>
      </c>
      <c r="B321" s="55" t="s">
        <v>100</v>
      </c>
      <c r="C321" s="208"/>
      <c r="D321" s="208"/>
      <c r="E321" s="208">
        <v>209695.847</v>
      </c>
      <c r="F321" s="203">
        <f t="shared" si="11"/>
        <v>209695.847</v>
      </c>
      <c r="G321" s="338" t="e">
        <f t="shared" si="12"/>
        <v>#DIV/0!</v>
      </c>
    </row>
    <row r="322" spans="1:7" ht="12.75">
      <c r="A322" s="67" t="s">
        <v>360</v>
      </c>
      <c r="B322" s="55">
        <v>14231500</v>
      </c>
      <c r="C322" s="208"/>
      <c r="D322" s="208"/>
      <c r="E322" s="208">
        <v>474836.002</v>
      </c>
      <c r="F322" s="203">
        <f t="shared" si="11"/>
        <v>474836.002</v>
      </c>
      <c r="G322" s="338" t="e">
        <f t="shared" si="12"/>
        <v>#DIV/0!</v>
      </c>
    </row>
    <row r="323" spans="1:7" ht="12.75">
      <c r="A323" s="67" t="s">
        <v>380</v>
      </c>
      <c r="B323" s="55">
        <v>14231600</v>
      </c>
      <c r="C323" s="208"/>
      <c r="D323" s="208"/>
      <c r="E323" s="208">
        <v>76336.543</v>
      </c>
      <c r="F323" s="203">
        <f t="shared" si="11"/>
        <v>76336.543</v>
      </c>
      <c r="G323" s="338" t="e">
        <f t="shared" si="12"/>
        <v>#DIV/0!</v>
      </c>
    </row>
    <row r="324" spans="1:7" ht="22.5">
      <c r="A324" s="67" t="s">
        <v>381</v>
      </c>
      <c r="B324" s="55">
        <v>14231700</v>
      </c>
      <c r="C324" s="208"/>
      <c r="D324" s="208"/>
      <c r="E324" s="208">
        <v>86379.809</v>
      </c>
      <c r="F324" s="203">
        <f t="shared" si="11"/>
        <v>86379.809</v>
      </c>
      <c r="G324" s="338" t="e">
        <f t="shared" si="12"/>
        <v>#DIV/0!</v>
      </c>
    </row>
    <row r="325" spans="1:7" ht="22.5">
      <c r="A325" s="67" t="s">
        <v>382</v>
      </c>
      <c r="B325" s="55">
        <v>14231800</v>
      </c>
      <c r="C325" s="208"/>
      <c r="D325" s="208"/>
      <c r="E325" s="208">
        <v>123.874</v>
      </c>
      <c r="F325" s="203">
        <f t="shared" si="11"/>
        <v>123.874</v>
      </c>
      <c r="G325" s="338" t="e">
        <f t="shared" si="12"/>
        <v>#DIV/0!</v>
      </c>
    </row>
    <row r="326" spans="1:7" ht="12.75">
      <c r="A326" s="67" t="s">
        <v>383</v>
      </c>
      <c r="B326" s="55">
        <v>14231900</v>
      </c>
      <c r="C326" s="208"/>
      <c r="D326" s="208"/>
      <c r="E326" s="208">
        <v>160882.385</v>
      </c>
      <c r="F326" s="203">
        <f t="shared" si="11"/>
        <v>160882.385</v>
      </c>
      <c r="G326" s="338" t="e">
        <f t="shared" si="12"/>
        <v>#DIV/0!</v>
      </c>
    </row>
    <row r="327" spans="1:7" ht="12.75">
      <c r="A327" s="66" t="s">
        <v>384</v>
      </c>
      <c r="B327" s="65">
        <v>14232</v>
      </c>
      <c r="C327" s="344">
        <f>C328+C329+C330+C331+C332+C333+C334+C335+C336</f>
        <v>0</v>
      </c>
      <c r="D327" s="344">
        <f>D328+D329+D330+D331+D332+D333+D334+D335+D336</f>
        <v>0</v>
      </c>
      <c r="E327" s="206">
        <f>E328+E329+E330+E331+E332+E333+E334+E335+E336</f>
        <v>4522571.861</v>
      </c>
      <c r="F327" s="205">
        <f t="shared" si="11"/>
        <v>4522571.861</v>
      </c>
      <c r="G327" s="342" t="e">
        <f t="shared" si="12"/>
        <v>#DIV/0!</v>
      </c>
    </row>
    <row r="328" spans="1:7" ht="12.75" customHeight="1">
      <c r="A328" s="67" t="s">
        <v>385</v>
      </c>
      <c r="B328" s="55" t="s">
        <v>101</v>
      </c>
      <c r="C328" s="208"/>
      <c r="D328" s="208"/>
      <c r="E328" s="208">
        <v>4018826.614</v>
      </c>
      <c r="F328" s="203">
        <f aca="true" t="shared" si="13" ref="F328:F392">E328-D328</f>
        <v>4018826.614</v>
      </c>
      <c r="G328" s="338" t="e">
        <f aca="true" t="shared" si="14" ref="G328:G392">E328/D328*100</f>
        <v>#DIV/0!</v>
      </c>
    </row>
    <row r="329" spans="1:7" ht="22.5">
      <c r="A329" s="67" t="s">
        <v>103</v>
      </c>
      <c r="B329" s="55" t="s">
        <v>102</v>
      </c>
      <c r="C329" s="208"/>
      <c r="D329" s="208"/>
      <c r="E329" s="208">
        <v>25005.576</v>
      </c>
      <c r="F329" s="203">
        <f t="shared" si="13"/>
        <v>25005.576</v>
      </c>
      <c r="G329" s="338" t="e">
        <f t="shared" si="14"/>
        <v>#DIV/0!</v>
      </c>
    </row>
    <row r="330" spans="1:7" ht="22.5">
      <c r="A330" s="67" t="s">
        <v>105</v>
      </c>
      <c r="B330" s="55" t="s">
        <v>104</v>
      </c>
      <c r="C330" s="208"/>
      <c r="D330" s="208"/>
      <c r="E330" s="208">
        <v>113162.094</v>
      </c>
      <c r="F330" s="203">
        <f t="shared" si="13"/>
        <v>113162.094</v>
      </c>
      <c r="G330" s="338" t="e">
        <f t="shared" si="14"/>
        <v>#DIV/0!</v>
      </c>
    </row>
    <row r="331" spans="1:7" ht="22.5">
      <c r="A331" s="67" t="s">
        <v>282</v>
      </c>
      <c r="B331" s="55">
        <v>14232400</v>
      </c>
      <c r="C331" s="208"/>
      <c r="D331" s="208"/>
      <c r="E331" s="208">
        <v>129145.132</v>
      </c>
      <c r="F331" s="203">
        <f t="shared" si="13"/>
        <v>129145.132</v>
      </c>
      <c r="G331" s="338" t="e">
        <f t="shared" si="14"/>
        <v>#DIV/0!</v>
      </c>
    </row>
    <row r="332" spans="1:7" ht="22.5">
      <c r="A332" s="67" t="s">
        <v>121</v>
      </c>
      <c r="B332" s="55">
        <v>14232500</v>
      </c>
      <c r="C332" s="208"/>
      <c r="D332" s="208"/>
      <c r="E332" s="208">
        <v>34337.111</v>
      </c>
      <c r="F332" s="203">
        <f t="shared" si="13"/>
        <v>34337.111</v>
      </c>
      <c r="G332" s="338" t="e">
        <f t="shared" si="14"/>
        <v>#DIV/0!</v>
      </c>
    </row>
    <row r="333" spans="1:7" ht="22.5">
      <c r="A333" s="67" t="s">
        <v>386</v>
      </c>
      <c r="B333" s="55">
        <v>14232600</v>
      </c>
      <c r="C333" s="208"/>
      <c r="D333" s="208"/>
      <c r="E333" s="208">
        <v>71679.366</v>
      </c>
      <c r="F333" s="203">
        <f t="shared" si="13"/>
        <v>71679.366</v>
      </c>
      <c r="G333" s="338" t="e">
        <f t="shared" si="14"/>
        <v>#DIV/0!</v>
      </c>
    </row>
    <row r="334" spans="1:7" ht="12.75">
      <c r="A334" s="67" t="s">
        <v>387</v>
      </c>
      <c r="B334" s="55">
        <v>14232700</v>
      </c>
      <c r="C334" s="208"/>
      <c r="D334" s="208"/>
      <c r="E334" s="208">
        <v>10510.005</v>
      </c>
      <c r="F334" s="203">
        <f t="shared" si="13"/>
        <v>10510.005</v>
      </c>
      <c r="G334" s="338" t="e">
        <f t="shared" si="14"/>
        <v>#DIV/0!</v>
      </c>
    </row>
    <row r="335" spans="1:7" ht="22.5">
      <c r="A335" s="67" t="s">
        <v>388</v>
      </c>
      <c r="B335" s="55">
        <v>14232800</v>
      </c>
      <c r="C335" s="208"/>
      <c r="D335" s="208"/>
      <c r="E335" s="208">
        <v>50457.829</v>
      </c>
      <c r="F335" s="203">
        <f t="shared" si="13"/>
        <v>50457.829</v>
      </c>
      <c r="G335" s="338" t="e">
        <f t="shared" si="14"/>
        <v>#DIV/0!</v>
      </c>
    </row>
    <row r="336" spans="1:7" ht="12.75">
      <c r="A336" s="67" t="s">
        <v>389</v>
      </c>
      <c r="B336" s="55">
        <v>14232900</v>
      </c>
      <c r="C336" s="208"/>
      <c r="D336" s="208"/>
      <c r="E336" s="208">
        <v>69448.134</v>
      </c>
      <c r="F336" s="203">
        <f t="shared" si="13"/>
        <v>69448.134</v>
      </c>
      <c r="G336" s="338" t="e">
        <f t="shared" si="14"/>
        <v>#DIV/0!</v>
      </c>
    </row>
    <row r="337" spans="1:7" ht="12.75">
      <c r="A337" s="66" t="s">
        <v>390</v>
      </c>
      <c r="B337" s="58" t="s">
        <v>106</v>
      </c>
      <c r="C337" s="344">
        <f>C338+C339+C340+C341+C342+C343</f>
        <v>0</v>
      </c>
      <c r="D337" s="344">
        <f>D338+D339+D340+D341+D342+D343</f>
        <v>0</v>
      </c>
      <c r="E337" s="206">
        <f>E338+E339+E340+E341+E342+E343</f>
        <v>2848.038</v>
      </c>
      <c r="F337" s="205">
        <f t="shared" si="13"/>
        <v>2848.038</v>
      </c>
      <c r="G337" s="342" t="e">
        <f t="shared" si="14"/>
        <v>#DIV/0!</v>
      </c>
    </row>
    <row r="338" spans="1:7" ht="12.75">
      <c r="A338" s="67" t="s">
        <v>391</v>
      </c>
      <c r="B338" s="55" t="s">
        <v>107</v>
      </c>
      <c r="C338" s="208"/>
      <c r="D338" s="208"/>
      <c r="E338" s="208">
        <v>1349.546</v>
      </c>
      <c r="F338" s="203">
        <f t="shared" si="13"/>
        <v>1349.546</v>
      </c>
      <c r="G338" s="338" t="e">
        <f t="shared" si="14"/>
        <v>#DIV/0!</v>
      </c>
    </row>
    <row r="339" spans="1:7" ht="22.5">
      <c r="A339" s="67" t="s">
        <v>392</v>
      </c>
      <c r="B339" s="55" t="s">
        <v>108</v>
      </c>
      <c r="C339" s="208"/>
      <c r="D339" s="208"/>
      <c r="E339" s="208">
        <v>17.15</v>
      </c>
      <c r="F339" s="203">
        <f t="shared" si="13"/>
        <v>17.15</v>
      </c>
      <c r="G339" s="338" t="e">
        <f t="shared" si="14"/>
        <v>#DIV/0!</v>
      </c>
    </row>
    <row r="340" spans="1:7" ht="12.75">
      <c r="A340" s="67" t="s">
        <v>393</v>
      </c>
      <c r="B340" s="55" t="s">
        <v>109</v>
      </c>
      <c r="C340" s="208"/>
      <c r="D340" s="208"/>
      <c r="E340" s="208">
        <v>69.85</v>
      </c>
      <c r="F340" s="203">
        <f t="shared" si="13"/>
        <v>69.85</v>
      </c>
      <c r="G340" s="338" t="e">
        <f t="shared" si="14"/>
        <v>#DIV/0!</v>
      </c>
    </row>
    <row r="341" spans="1:7" ht="12.75">
      <c r="A341" s="67" t="s">
        <v>394</v>
      </c>
      <c r="B341" s="55">
        <v>14233400</v>
      </c>
      <c r="C341" s="208"/>
      <c r="D341" s="208"/>
      <c r="E341" s="208">
        <v>1307.564</v>
      </c>
      <c r="F341" s="203">
        <f t="shared" si="13"/>
        <v>1307.564</v>
      </c>
      <c r="G341" s="338" t="e">
        <f t="shared" si="14"/>
        <v>#DIV/0!</v>
      </c>
    </row>
    <row r="342" spans="1:7" ht="12.75" hidden="1">
      <c r="A342" s="67" t="s">
        <v>573</v>
      </c>
      <c r="B342" s="55">
        <v>14233600</v>
      </c>
      <c r="C342" s="208"/>
      <c r="D342" s="208"/>
      <c r="E342" s="208"/>
      <c r="F342" s="337">
        <f>E342-D342</f>
        <v>0</v>
      </c>
      <c r="G342" s="338" t="e">
        <f>E342/D342*100</f>
        <v>#DIV/0!</v>
      </c>
    </row>
    <row r="343" spans="1:7" ht="12.75">
      <c r="A343" s="67" t="s">
        <v>395</v>
      </c>
      <c r="B343" s="55">
        <v>14233900</v>
      </c>
      <c r="C343" s="208"/>
      <c r="D343" s="208"/>
      <c r="E343" s="208">
        <v>103.928</v>
      </c>
      <c r="F343" s="203">
        <f t="shared" si="13"/>
        <v>103.928</v>
      </c>
      <c r="G343" s="338" t="e">
        <f t="shared" si="14"/>
        <v>#DIV/0!</v>
      </c>
    </row>
    <row r="344" spans="1:7" ht="21">
      <c r="A344" s="66" t="s">
        <v>535</v>
      </c>
      <c r="B344" s="58" t="s">
        <v>110</v>
      </c>
      <c r="C344" s="344">
        <f>C345+C346+C347+C348+C349+C350+C351+C352</f>
        <v>0</v>
      </c>
      <c r="D344" s="344">
        <f>D345+D346+D347+D348+D349+D350+D351+D352</f>
        <v>0</v>
      </c>
      <c r="E344" s="206">
        <f>E345+E346+E347+E348+E349+E350+E351+E352</f>
        <v>289063.481</v>
      </c>
      <c r="F344" s="205">
        <f t="shared" si="13"/>
        <v>289063.481</v>
      </c>
      <c r="G344" s="342" t="e">
        <f t="shared" si="14"/>
        <v>#DIV/0!</v>
      </c>
    </row>
    <row r="345" spans="1:7" ht="12.75">
      <c r="A345" s="67" t="s">
        <v>396</v>
      </c>
      <c r="B345" s="55" t="s">
        <v>111</v>
      </c>
      <c r="C345" s="208"/>
      <c r="D345" s="208"/>
      <c r="E345" s="208">
        <v>3938.716</v>
      </c>
      <c r="F345" s="203">
        <f t="shared" si="13"/>
        <v>3938.716</v>
      </c>
      <c r="G345" s="338" t="e">
        <f t="shared" si="14"/>
        <v>#DIV/0!</v>
      </c>
    </row>
    <row r="346" spans="1:7" ht="22.5">
      <c r="A346" s="67" t="s">
        <v>397</v>
      </c>
      <c r="B346" s="55" t="s">
        <v>112</v>
      </c>
      <c r="C346" s="208"/>
      <c r="D346" s="208"/>
      <c r="E346" s="208">
        <v>7.736</v>
      </c>
      <c r="F346" s="203">
        <f t="shared" si="13"/>
        <v>7.736</v>
      </c>
      <c r="G346" s="338" t="e">
        <f t="shared" si="14"/>
        <v>#DIV/0!</v>
      </c>
    </row>
    <row r="347" spans="1:7" ht="22.5">
      <c r="A347" s="67" t="s">
        <v>398</v>
      </c>
      <c r="B347" s="55" t="s">
        <v>113</v>
      </c>
      <c r="C347" s="208"/>
      <c r="D347" s="208"/>
      <c r="E347" s="208">
        <v>4819.197</v>
      </c>
      <c r="F347" s="203">
        <f t="shared" si="13"/>
        <v>4819.197</v>
      </c>
      <c r="G347" s="338" t="e">
        <f t="shared" si="14"/>
        <v>#DIV/0!</v>
      </c>
    </row>
    <row r="348" spans="1:7" ht="12.75" customHeight="1">
      <c r="A348" s="67" t="s">
        <v>399</v>
      </c>
      <c r="B348" s="55">
        <v>14234400</v>
      </c>
      <c r="C348" s="208"/>
      <c r="D348" s="208"/>
      <c r="E348" s="208">
        <v>19279.616</v>
      </c>
      <c r="F348" s="203">
        <f t="shared" si="13"/>
        <v>19279.616</v>
      </c>
      <c r="G348" s="338" t="e">
        <f t="shared" si="14"/>
        <v>#DIV/0!</v>
      </c>
    </row>
    <row r="349" spans="1:7" ht="22.5">
      <c r="A349" s="67" t="s">
        <v>400</v>
      </c>
      <c r="B349" s="55">
        <v>14234500</v>
      </c>
      <c r="C349" s="208"/>
      <c r="D349" s="208"/>
      <c r="E349" s="208">
        <v>6103.188</v>
      </c>
      <c r="F349" s="203">
        <f t="shared" si="13"/>
        <v>6103.188</v>
      </c>
      <c r="G349" s="338" t="e">
        <f t="shared" si="14"/>
        <v>#DIV/0!</v>
      </c>
    </row>
    <row r="350" spans="1:7" ht="12.75">
      <c r="A350" s="67" t="s">
        <v>401</v>
      </c>
      <c r="B350" s="55">
        <v>14234600</v>
      </c>
      <c r="C350" s="208"/>
      <c r="D350" s="208"/>
      <c r="E350" s="208">
        <v>1219.318</v>
      </c>
      <c r="F350" s="203">
        <f t="shared" si="13"/>
        <v>1219.318</v>
      </c>
      <c r="G350" s="338" t="e">
        <f t="shared" si="14"/>
        <v>#DIV/0!</v>
      </c>
    </row>
    <row r="351" spans="1:7" ht="12.75">
      <c r="A351" s="67" t="s">
        <v>536</v>
      </c>
      <c r="B351" s="55">
        <v>14234700</v>
      </c>
      <c r="C351" s="208"/>
      <c r="D351" s="208"/>
      <c r="E351" s="208">
        <v>574.403</v>
      </c>
      <c r="F351" s="203">
        <f t="shared" si="13"/>
        <v>574.403</v>
      </c>
      <c r="G351" s="338" t="e">
        <f t="shared" si="14"/>
        <v>#DIV/0!</v>
      </c>
    </row>
    <row r="352" spans="1:7" ht="22.5">
      <c r="A352" s="67" t="s">
        <v>402</v>
      </c>
      <c r="B352" s="55">
        <v>14234900</v>
      </c>
      <c r="C352" s="208"/>
      <c r="D352" s="208"/>
      <c r="E352" s="208">
        <v>253121.307</v>
      </c>
      <c r="F352" s="203">
        <f t="shared" si="13"/>
        <v>253121.307</v>
      </c>
      <c r="G352" s="338" t="e">
        <f t="shared" si="14"/>
        <v>#DIV/0!</v>
      </c>
    </row>
    <row r="353" spans="1:7" ht="12.75">
      <c r="A353" s="66" t="s">
        <v>403</v>
      </c>
      <c r="B353" s="58" t="s">
        <v>114</v>
      </c>
      <c r="C353" s="340">
        <f>C354+C355+C356+C357+C358+C359+C360</f>
        <v>0</v>
      </c>
      <c r="D353" s="340">
        <f>D354+D355+D356+D357+D358+D359+D360</f>
        <v>0</v>
      </c>
      <c r="E353" s="209">
        <f>E354+E355+E356+E357+E358+E359+E360</f>
        <v>28164.924</v>
      </c>
      <c r="F353" s="205">
        <f t="shared" si="13"/>
        <v>28164.924</v>
      </c>
      <c r="G353" s="342" t="e">
        <f t="shared" si="14"/>
        <v>#DIV/0!</v>
      </c>
    </row>
    <row r="354" spans="1:7" ht="22.5">
      <c r="A354" s="67" t="s">
        <v>404</v>
      </c>
      <c r="B354" s="55" t="s">
        <v>115</v>
      </c>
      <c r="C354" s="202"/>
      <c r="D354" s="202"/>
      <c r="E354" s="202">
        <v>10164.857</v>
      </c>
      <c r="F354" s="203">
        <f t="shared" si="13"/>
        <v>10164.857</v>
      </c>
      <c r="G354" s="338" t="e">
        <f t="shared" si="14"/>
        <v>#DIV/0!</v>
      </c>
    </row>
    <row r="355" spans="1:7" ht="12.75">
      <c r="A355" s="67" t="s">
        <v>405</v>
      </c>
      <c r="B355" s="55" t="s">
        <v>116</v>
      </c>
      <c r="C355" s="202"/>
      <c r="D355" s="202"/>
      <c r="E355" s="202">
        <v>0.492</v>
      </c>
      <c r="F355" s="203">
        <f t="shared" si="13"/>
        <v>0.492</v>
      </c>
      <c r="G355" s="338" t="e">
        <f t="shared" si="14"/>
        <v>#DIV/0!</v>
      </c>
    </row>
    <row r="356" spans="1:7" ht="12.75">
      <c r="A356" s="67" t="s">
        <v>406</v>
      </c>
      <c r="B356" s="55" t="s">
        <v>117</v>
      </c>
      <c r="C356" s="202"/>
      <c r="D356" s="202"/>
      <c r="E356" s="202">
        <v>6386.948</v>
      </c>
      <c r="F356" s="203">
        <f t="shared" si="13"/>
        <v>6386.948</v>
      </c>
      <c r="G356" s="338" t="e">
        <f t="shared" si="14"/>
        <v>#DIV/0!</v>
      </c>
    </row>
    <row r="357" spans="1:7" ht="12.75">
      <c r="A357" s="67" t="s">
        <v>407</v>
      </c>
      <c r="B357" s="55" t="s">
        <v>118</v>
      </c>
      <c r="C357" s="202"/>
      <c r="D357" s="202"/>
      <c r="E357" s="202">
        <v>-15170.627</v>
      </c>
      <c r="F357" s="203">
        <f t="shared" si="13"/>
        <v>-15170.627</v>
      </c>
      <c r="G357" s="338" t="e">
        <f t="shared" si="14"/>
        <v>#DIV/0!</v>
      </c>
    </row>
    <row r="358" spans="1:7" ht="12.75">
      <c r="A358" s="67" t="s">
        <v>408</v>
      </c>
      <c r="B358" s="55" t="s">
        <v>119</v>
      </c>
      <c r="C358" s="202"/>
      <c r="D358" s="202"/>
      <c r="E358" s="202">
        <v>4146.844</v>
      </c>
      <c r="F358" s="203">
        <f t="shared" si="13"/>
        <v>4146.844</v>
      </c>
      <c r="G358" s="338" t="e">
        <f t="shared" si="14"/>
        <v>#DIV/0!</v>
      </c>
    </row>
    <row r="359" spans="1:7" ht="12.75">
      <c r="A359" s="67" t="s">
        <v>409</v>
      </c>
      <c r="B359" s="55" t="s">
        <v>120</v>
      </c>
      <c r="C359" s="202"/>
      <c r="D359" s="202"/>
      <c r="E359" s="202">
        <v>2023.925</v>
      </c>
      <c r="F359" s="203">
        <f t="shared" si="13"/>
        <v>2023.925</v>
      </c>
      <c r="G359" s="338" t="e">
        <f t="shared" si="14"/>
        <v>#DIV/0!</v>
      </c>
    </row>
    <row r="360" spans="1:7" ht="22.5">
      <c r="A360" s="67" t="s">
        <v>442</v>
      </c>
      <c r="B360" s="55">
        <v>14235900</v>
      </c>
      <c r="C360" s="202"/>
      <c r="D360" s="202"/>
      <c r="E360" s="202">
        <v>20612.485</v>
      </c>
      <c r="F360" s="203">
        <f t="shared" si="13"/>
        <v>20612.485</v>
      </c>
      <c r="G360" s="338" t="e">
        <f t="shared" si="14"/>
        <v>#DIV/0!</v>
      </c>
    </row>
    <row r="361" spans="1:7" ht="12.75">
      <c r="A361" s="66" t="s">
        <v>410</v>
      </c>
      <c r="B361" s="58">
        <v>14236</v>
      </c>
      <c r="C361" s="340">
        <f>C362+C363+C364+C365+C366+C367+C368</f>
        <v>0</v>
      </c>
      <c r="D361" s="340">
        <f>D362+D363+D364+D365+D366+D367+D368</f>
        <v>0</v>
      </c>
      <c r="E361" s="209">
        <f>E362+E363+E364+E365+E366+E367+E368</f>
        <v>66228.948</v>
      </c>
      <c r="F361" s="205">
        <f t="shared" si="13"/>
        <v>66228.948</v>
      </c>
      <c r="G361" s="342" t="e">
        <f t="shared" si="14"/>
        <v>#DIV/0!</v>
      </c>
    </row>
    <row r="362" spans="1:7" ht="22.5">
      <c r="A362" s="67" t="s">
        <v>411</v>
      </c>
      <c r="B362" s="55">
        <v>14236100</v>
      </c>
      <c r="C362" s="202"/>
      <c r="D362" s="202"/>
      <c r="E362" s="202">
        <v>69.61</v>
      </c>
      <c r="F362" s="203">
        <f t="shared" si="13"/>
        <v>69.61</v>
      </c>
      <c r="G362" s="338" t="e">
        <f t="shared" si="14"/>
        <v>#DIV/0!</v>
      </c>
    </row>
    <row r="363" spans="1:7" ht="22.5">
      <c r="A363" s="67" t="s">
        <v>412</v>
      </c>
      <c r="B363" s="55">
        <v>14236200</v>
      </c>
      <c r="C363" s="202"/>
      <c r="D363" s="202"/>
      <c r="E363" s="202">
        <v>959.017</v>
      </c>
      <c r="F363" s="203">
        <f t="shared" si="13"/>
        <v>959.017</v>
      </c>
      <c r="G363" s="338" t="e">
        <f t="shared" si="14"/>
        <v>#DIV/0!</v>
      </c>
    </row>
    <row r="364" spans="1:7" ht="12.75">
      <c r="A364" s="67" t="s">
        <v>413</v>
      </c>
      <c r="B364" s="55">
        <v>14236300</v>
      </c>
      <c r="C364" s="202"/>
      <c r="D364" s="202"/>
      <c r="E364" s="202">
        <v>4768.577</v>
      </c>
      <c r="F364" s="203">
        <f t="shared" si="13"/>
        <v>4768.577</v>
      </c>
      <c r="G364" s="338" t="e">
        <f t="shared" si="14"/>
        <v>#DIV/0!</v>
      </c>
    </row>
    <row r="365" spans="1:7" ht="12.75">
      <c r="A365" s="67" t="s">
        <v>414</v>
      </c>
      <c r="B365" s="55">
        <v>14236400</v>
      </c>
      <c r="C365" s="202"/>
      <c r="D365" s="202"/>
      <c r="E365" s="202">
        <v>13354.924</v>
      </c>
      <c r="F365" s="203">
        <f t="shared" si="13"/>
        <v>13354.924</v>
      </c>
      <c r="G365" s="338" t="e">
        <f t="shared" si="14"/>
        <v>#DIV/0!</v>
      </c>
    </row>
    <row r="366" spans="1:7" ht="12.75">
      <c r="A366" s="67" t="s">
        <v>415</v>
      </c>
      <c r="B366" s="55">
        <v>14236500</v>
      </c>
      <c r="C366" s="202"/>
      <c r="D366" s="202"/>
      <c r="E366" s="202">
        <v>238.804</v>
      </c>
      <c r="F366" s="203">
        <f t="shared" si="13"/>
        <v>238.804</v>
      </c>
      <c r="G366" s="338" t="e">
        <f t="shared" si="14"/>
        <v>#DIV/0!</v>
      </c>
    </row>
    <row r="367" spans="1:7" ht="12.75">
      <c r="A367" s="67" t="s">
        <v>416</v>
      </c>
      <c r="B367" s="55">
        <v>14236600</v>
      </c>
      <c r="C367" s="202"/>
      <c r="D367" s="202"/>
      <c r="E367" s="202">
        <v>35766.178</v>
      </c>
      <c r="F367" s="203">
        <f t="shared" si="13"/>
        <v>35766.178</v>
      </c>
      <c r="G367" s="338" t="e">
        <f t="shared" si="14"/>
        <v>#DIV/0!</v>
      </c>
    </row>
    <row r="368" spans="1:7" ht="12.75" customHeight="1">
      <c r="A368" s="67" t="s">
        <v>417</v>
      </c>
      <c r="B368" s="55">
        <v>14236900</v>
      </c>
      <c r="C368" s="202"/>
      <c r="D368" s="202"/>
      <c r="E368" s="202">
        <v>11071.838</v>
      </c>
      <c r="F368" s="203">
        <f t="shared" si="13"/>
        <v>11071.838</v>
      </c>
      <c r="G368" s="338" t="e">
        <f t="shared" si="14"/>
        <v>#DIV/0!</v>
      </c>
    </row>
    <row r="369" spans="1:7" ht="12.75">
      <c r="A369" s="66" t="s">
        <v>418</v>
      </c>
      <c r="B369" s="58">
        <v>14237</v>
      </c>
      <c r="C369" s="340">
        <f>C370+C371+C372+C373+C374+C375+C376+C377</f>
        <v>0</v>
      </c>
      <c r="D369" s="340">
        <f>D370+D371+D372+D373+D374+D375+D376+D377</f>
        <v>0</v>
      </c>
      <c r="E369" s="209">
        <f>E370+E371+E372+E373+E374+E375+E376+E377</f>
        <v>1048237.295</v>
      </c>
      <c r="F369" s="205">
        <f t="shared" si="13"/>
        <v>1048237.295</v>
      </c>
      <c r="G369" s="342" t="e">
        <f t="shared" si="14"/>
        <v>#DIV/0!</v>
      </c>
    </row>
    <row r="370" spans="1:7" ht="12.75">
      <c r="A370" s="67" t="s">
        <v>419</v>
      </c>
      <c r="B370" s="55">
        <v>14237100</v>
      </c>
      <c r="C370" s="202"/>
      <c r="D370" s="202"/>
      <c r="E370" s="202">
        <v>1067.167</v>
      </c>
      <c r="F370" s="203">
        <f t="shared" si="13"/>
        <v>1067.167</v>
      </c>
      <c r="G370" s="338" t="e">
        <f t="shared" si="14"/>
        <v>#DIV/0!</v>
      </c>
    </row>
    <row r="371" spans="1:7" ht="12.75">
      <c r="A371" s="67" t="s">
        <v>420</v>
      </c>
      <c r="B371" s="55">
        <v>14237200</v>
      </c>
      <c r="C371" s="202"/>
      <c r="D371" s="202"/>
      <c r="E371" s="202">
        <v>917.384</v>
      </c>
      <c r="F371" s="203">
        <f t="shared" si="13"/>
        <v>917.384</v>
      </c>
      <c r="G371" s="338" t="e">
        <f t="shared" si="14"/>
        <v>#DIV/0!</v>
      </c>
    </row>
    <row r="372" spans="1:7" ht="12.75">
      <c r="A372" s="67" t="s">
        <v>421</v>
      </c>
      <c r="B372" s="55">
        <v>14237300</v>
      </c>
      <c r="C372" s="202"/>
      <c r="D372" s="202"/>
      <c r="E372" s="202">
        <v>0.924</v>
      </c>
      <c r="F372" s="203">
        <f t="shared" si="13"/>
        <v>0.924</v>
      </c>
      <c r="G372" s="338" t="e">
        <f t="shared" si="14"/>
        <v>#DIV/0!</v>
      </c>
    </row>
    <row r="373" spans="1:7" ht="12.75">
      <c r="A373" s="67" t="s">
        <v>422</v>
      </c>
      <c r="B373" s="55">
        <v>14237400</v>
      </c>
      <c r="C373" s="202"/>
      <c r="D373" s="202"/>
      <c r="E373" s="202">
        <v>3207.607</v>
      </c>
      <c r="F373" s="203">
        <f t="shared" si="13"/>
        <v>3207.607</v>
      </c>
      <c r="G373" s="338" t="e">
        <f t="shared" si="14"/>
        <v>#DIV/0!</v>
      </c>
    </row>
    <row r="374" spans="1:7" ht="12.75">
      <c r="A374" s="67" t="s">
        <v>423</v>
      </c>
      <c r="B374" s="55">
        <v>14237500</v>
      </c>
      <c r="C374" s="202"/>
      <c r="D374" s="202"/>
      <c r="E374" s="202">
        <v>21574.036</v>
      </c>
      <c r="F374" s="203">
        <f t="shared" si="13"/>
        <v>21574.036</v>
      </c>
      <c r="G374" s="338" t="e">
        <f t="shared" si="14"/>
        <v>#DIV/0!</v>
      </c>
    </row>
    <row r="375" spans="1:7" ht="12.75">
      <c r="A375" s="67" t="s">
        <v>424</v>
      </c>
      <c r="B375" s="55">
        <v>14237600</v>
      </c>
      <c r="C375" s="202"/>
      <c r="D375" s="202"/>
      <c r="E375" s="202">
        <v>1014159.091</v>
      </c>
      <c r="F375" s="203">
        <f t="shared" si="13"/>
        <v>1014159.091</v>
      </c>
      <c r="G375" s="338" t="e">
        <f t="shared" si="14"/>
        <v>#DIV/0!</v>
      </c>
    </row>
    <row r="376" spans="1:7" ht="22.5">
      <c r="A376" s="67" t="s">
        <v>425</v>
      </c>
      <c r="B376" s="55">
        <v>14237700</v>
      </c>
      <c r="C376" s="202"/>
      <c r="D376" s="202"/>
      <c r="E376" s="202">
        <v>2815.835</v>
      </c>
      <c r="F376" s="203">
        <f t="shared" si="13"/>
        <v>2815.835</v>
      </c>
      <c r="G376" s="338" t="e">
        <f t="shared" si="14"/>
        <v>#DIV/0!</v>
      </c>
    </row>
    <row r="377" spans="1:7" ht="12.75" customHeight="1">
      <c r="A377" s="67" t="s">
        <v>426</v>
      </c>
      <c r="B377" s="55">
        <v>14237900</v>
      </c>
      <c r="C377" s="202"/>
      <c r="D377" s="202"/>
      <c r="E377" s="202">
        <v>4495.251</v>
      </c>
      <c r="F377" s="203">
        <f t="shared" si="13"/>
        <v>4495.251</v>
      </c>
      <c r="G377" s="338" t="e">
        <f t="shared" si="14"/>
        <v>#DIV/0!</v>
      </c>
    </row>
    <row r="378" spans="1:7" ht="12.75">
      <c r="A378" s="66" t="s">
        <v>427</v>
      </c>
      <c r="B378" s="58">
        <v>14238</v>
      </c>
      <c r="C378" s="340">
        <f>C379+C380+C381+C382+C383+C384+C385+C386</f>
        <v>0</v>
      </c>
      <c r="D378" s="340">
        <f>D379+D380+D381+D382+D383+D384+D385+D386</f>
        <v>0</v>
      </c>
      <c r="E378" s="209">
        <f>E379+E380+E381+E382+E383+E384+E385+E386</f>
        <v>1249343.405</v>
      </c>
      <c r="F378" s="205">
        <f t="shared" si="13"/>
        <v>1249343.405</v>
      </c>
      <c r="G378" s="342" t="e">
        <f t="shared" si="14"/>
        <v>#DIV/0!</v>
      </c>
    </row>
    <row r="379" spans="1:7" ht="12.75">
      <c r="A379" s="67" t="s">
        <v>428</v>
      </c>
      <c r="B379" s="55">
        <v>14238100</v>
      </c>
      <c r="C379" s="202"/>
      <c r="D379" s="202"/>
      <c r="E379" s="202">
        <v>58906.879</v>
      </c>
      <c r="F379" s="203">
        <f t="shared" si="13"/>
        <v>58906.879</v>
      </c>
      <c r="G379" s="338" t="e">
        <f t="shared" si="14"/>
        <v>#DIV/0!</v>
      </c>
    </row>
    <row r="380" spans="1:7" ht="12.75">
      <c r="A380" s="67" t="s">
        <v>429</v>
      </c>
      <c r="B380" s="55">
        <v>14238200</v>
      </c>
      <c r="C380" s="202"/>
      <c r="D380" s="202"/>
      <c r="E380" s="202">
        <v>5788.322</v>
      </c>
      <c r="F380" s="203">
        <f t="shared" si="13"/>
        <v>5788.322</v>
      </c>
      <c r="G380" s="338" t="e">
        <f t="shared" si="14"/>
        <v>#DIV/0!</v>
      </c>
    </row>
    <row r="381" spans="1:7" ht="12.75">
      <c r="A381" s="67" t="s">
        <v>430</v>
      </c>
      <c r="B381" s="55">
        <v>14238300</v>
      </c>
      <c r="C381" s="202"/>
      <c r="D381" s="202"/>
      <c r="E381" s="202">
        <v>28810.56</v>
      </c>
      <c r="F381" s="203">
        <f t="shared" si="13"/>
        <v>28810.56</v>
      </c>
      <c r="G381" s="338" t="e">
        <f t="shared" si="14"/>
        <v>#DIV/0!</v>
      </c>
    </row>
    <row r="382" spans="1:7" ht="12.75">
      <c r="A382" s="67" t="s">
        <v>431</v>
      </c>
      <c r="B382" s="55">
        <v>14238400</v>
      </c>
      <c r="C382" s="202"/>
      <c r="D382" s="202"/>
      <c r="E382" s="202">
        <v>0.11</v>
      </c>
      <c r="F382" s="203">
        <f t="shared" si="13"/>
        <v>0.11</v>
      </c>
      <c r="G382" s="338" t="e">
        <f t="shared" si="14"/>
        <v>#DIV/0!</v>
      </c>
    </row>
    <row r="383" spans="1:7" ht="12.75">
      <c r="A383" s="67" t="s">
        <v>432</v>
      </c>
      <c r="B383" s="55">
        <v>14238500</v>
      </c>
      <c r="C383" s="202"/>
      <c r="D383" s="202"/>
      <c r="E383" s="202">
        <v>1</v>
      </c>
      <c r="F383" s="203">
        <f t="shared" si="13"/>
        <v>1</v>
      </c>
      <c r="G383" s="338" t="e">
        <f t="shared" si="14"/>
        <v>#DIV/0!</v>
      </c>
    </row>
    <row r="384" spans="1:7" ht="22.5">
      <c r="A384" s="67" t="s">
        <v>433</v>
      </c>
      <c r="B384" s="55">
        <v>14238600</v>
      </c>
      <c r="C384" s="202"/>
      <c r="D384" s="202"/>
      <c r="E384" s="202">
        <v>437.457</v>
      </c>
      <c r="F384" s="203">
        <f t="shared" si="13"/>
        <v>437.457</v>
      </c>
      <c r="G384" s="338" t="e">
        <f t="shared" si="14"/>
        <v>#DIV/0!</v>
      </c>
    </row>
    <row r="385" spans="1:7" ht="22.5">
      <c r="A385" s="67" t="s">
        <v>434</v>
      </c>
      <c r="B385" s="55">
        <v>14238700</v>
      </c>
      <c r="C385" s="202"/>
      <c r="D385" s="202"/>
      <c r="E385" s="202">
        <v>995.479</v>
      </c>
      <c r="F385" s="203">
        <f t="shared" si="13"/>
        <v>995.479</v>
      </c>
      <c r="G385" s="338" t="e">
        <f t="shared" si="14"/>
        <v>#DIV/0!</v>
      </c>
    </row>
    <row r="386" spans="1:7" ht="12.75">
      <c r="A386" s="67" t="s">
        <v>435</v>
      </c>
      <c r="B386" s="55">
        <v>14238900</v>
      </c>
      <c r="C386" s="202"/>
      <c r="D386" s="202"/>
      <c r="E386" s="202">
        <f>906868.42+247535.178</f>
        <v>1154403.598</v>
      </c>
      <c r="F386" s="203">
        <f t="shared" si="13"/>
        <v>1154403.598</v>
      </c>
      <c r="G386" s="338" t="e">
        <f t="shared" si="14"/>
        <v>#DIV/0!</v>
      </c>
    </row>
    <row r="387" spans="1:7" ht="12.75">
      <c r="A387" s="66" t="s">
        <v>436</v>
      </c>
      <c r="B387" s="58">
        <v>14239</v>
      </c>
      <c r="C387" s="340">
        <f>C388+C389+C390+C391+C392+C393</f>
        <v>0</v>
      </c>
      <c r="D387" s="340">
        <f>D388+D389+D390+D391+D392+D393</f>
        <v>0</v>
      </c>
      <c r="E387" s="209">
        <f>E388+E389+E390+E391+E392+E393</f>
        <v>192281.99</v>
      </c>
      <c r="F387" s="205">
        <f t="shared" si="13"/>
        <v>192281.99</v>
      </c>
      <c r="G387" s="342" t="e">
        <f t="shared" si="14"/>
        <v>#DIV/0!</v>
      </c>
    </row>
    <row r="388" spans="1:7" ht="12.75">
      <c r="A388" s="67" t="s">
        <v>437</v>
      </c>
      <c r="B388" s="55">
        <v>14239100</v>
      </c>
      <c r="C388" s="202"/>
      <c r="D388" s="202"/>
      <c r="E388" s="202">
        <v>12.723</v>
      </c>
      <c r="F388" s="203">
        <f t="shared" si="13"/>
        <v>12.723</v>
      </c>
      <c r="G388" s="338" t="e">
        <f t="shared" si="14"/>
        <v>#DIV/0!</v>
      </c>
    </row>
    <row r="389" spans="1:7" ht="12.75" hidden="1">
      <c r="A389" s="67" t="s">
        <v>438</v>
      </c>
      <c r="B389" s="55">
        <v>14239200</v>
      </c>
      <c r="C389" s="202"/>
      <c r="D389" s="202"/>
      <c r="E389" s="202"/>
      <c r="F389" s="203">
        <f t="shared" si="13"/>
        <v>0</v>
      </c>
      <c r="G389" s="338" t="e">
        <f t="shared" si="14"/>
        <v>#DIV/0!</v>
      </c>
    </row>
    <row r="390" spans="1:7" ht="12.75">
      <c r="A390" s="67" t="s">
        <v>439</v>
      </c>
      <c r="B390" s="55">
        <v>14239300</v>
      </c>
      <c r="C390" s="202"/>
      <c r="D390" s="202"/>
      <c r="E390" s="202">
        <v>-6807.351</v>
      </c>
      <c r="F390" s="203">
        <f t="shared" si="13"/>
        <v>-6807.351</v>
      </c>
      <c r="G390" s="338" t="e">
        <f t="shared" si="14"/>
        <v>#DIV/0!</v>
      </c>
    </row>
    <row r="391" spans="1:7" ht="22.5">
      <c r="A391" s="67" t="s">
        <v>537</v>
      </c>
      <c r="B391" s="55">
        <v>14239400</v>
      </c>
      <c r="C391" s="202"/>
      <c r="D391" s="202"/>
      <c r="E391" s="202">
        <v>19578.636</v>
      </c>
      <c r="F391" s="203">
        <f t="shared" si="13"/>
        <v>19578.636</v>
      </c>
      <c r="G391" s="338" t="e">
        <f t="shared" si="14"/>
        <v>#DIV/0!</v>
      </c>
    </row>
    <row r="392" spans="1:7" ht="12.75">
      <c r="A392" s="67" t="s">
        <v>538</v>
      </c>
      <c r="B392" s="55">
        <v>14239500</v>
      </c>
      <c r="C392" s="202"/>
      <c r="D392" s="202"/>
      <c r="E392" s="202">
        <v>40966.725</v>
      </c>
      <c r="F392" s="203">
        <f t="shared" si="13"/>
        <v>40966.725</v>
      </c>
      <c r="G392" s="338" t="e">
        <f t="shared" si="14"/>
        <v>#DIV/0!</v>
      </c>
    </row>
    <row r="393" spans="1:7" ht="22.5">
      <c r="A393" s="67" t="s">
        <v>539</v>
      </c>
      <c r="B393" s="55">
        <v>14239900</v>
      </c>
      <c r="C393" s="202"/>
      <c r="D393" s="202"/>
      <c r="E393" s="202">
        <v>138531.257</v>
      </c>
      <c r="F393" s="203">
        <f aca="true" t="shared" si="15" ref="F393:F416">E393-D393</f>
        <v>138531.257</v>
      </c>
      <c r="G393" s="338" t="e">
        <f aca="true" t="shared" si="16" ref="G393:G416">E393/D393*100</f>
        <v>#DIV/0!</v>
      </c>
    </row>
    <row r="394" spans="1:7" ht="12.75">
      <c r="A394" s="66" t="s">
        <v>122</v>
      </c>
      <c r="B394" s="65">
        <v>143</v>
      </c>
      <c r="C394" s="206">
        <f aca="true" t="shared" si="17" ref="C394:E395">C395</f>
        <v>378622</v>
      </c>
      <c r="D394" s="206">
        <f t="shared" si="17"/>
        <v>378622</v>
      </c>
      <c r="E394" s="206">
        <f t="shared" si="17"/>
        <v>759516.102</v>
      </c>
      <c r="F394" s="205">
        <f t="shared" si="15"/>
        <v>380894.10199999996</v>
      </c>
      <c r="G394" s="150">
        <f t="shared" si="16"/>
        <v>200.60009772279477</v>
      </c>
    </row>
    <row r="395" spans="1:7" ht="12.75">
      <c r="A395" s="66" t="s">
        <v>440</v>
      </c>
      <c r="B395" s="65">
        <v>1431</v>
      </c>
      <c r="C395" s="206">
        <f t="shared" si="17"/>
        <v>378622</v>
      </c>
      <c r="D395" s="206">
        <f t="shared" si="17"/>
        <v>378622</v>
      </c>
      <c r="E395" s="206">
        <f t="shared" si="17"/>
        <v>759516.102</v>
      </c>
      <c r="F395" s="205">
        <f t="shared" si="15"/>
        <v>380894.10199999996</v>
      </c>
      <c r="G395" s="150">
        <f t="shared" si="16"/>
        <v>200.60009772279477</v>
      </c>
    </row>
    <row r="396" spans="1:7" ht="12.75">
      <c r="A396" s="66" t="s">
        <v>440</v>
      </c>
      <c r="B396" s="65">
        <v>14311</v>
      </c>
      <c r="C396" s="206">
        <f>C397+C398+C399+C400+C401+C402</f>
        <v>378622</v>
      </c>
      <c r="D396" s="206">
        <f>D397+D398+D399+D400+D401+D402</f>
        <v>378622</v>
      </c>
      <c r="E396" s="206">
        <f>E397+E398+E399+E400+E401+E402</f>
        <v>759516.102</v>
      </c>
      <c r="F396" s="205">
        <f t="shared" si="15"/>
        <v>380894.10199999996</v>
      </c>
      <c r="G396" s="150">
        <f t="shared" si="16"/>
        <v>200.60009772279477</v>
      </c>
    </row>
    <row r="397" spans="1:7" ht="12.75">
      <c r="A397" s="67" t="s">
        <v>123</v>
      </c>
      <c r="B397" s="56">
        <v>14311100</v>
      </c>
      <c r="C397" s="202">
        <v>378622</v>
      </c>
      <c r="D397" s="202">
        <v>378622</v>
      </c>
      <c r="E397" s="202">
        <v>689242.897</v>
      </c>
      <c r="F397" s="203">
        <f t="shared" si="15"/>
        <v>310620.897</v>
      </c>
      <c r="G397" s="151">
        <f t="shared" si="16"/>
        <v>182.0398436963515</v>
      </c>
    </row>
    <row r="398" spans="1:7" ht="12.75">
      <c r="A398" s="67" t="s">
        <v>124</v>
      </c>
      <c r="B398" s="56">
        <v>14311200</v>
      </c>
      <c r="C398" s="202"/>
      <c r="D398" s="202"/>
      <c r="E398" s="202">
        <v>1284.758</v>
      </c>
      <c r="F398" s="203">
        <f t="shared" si="15"/>
        <v>1284.758</v>
      </c>
      <c r="G398" s="338" t="e">
        <f t="shared" si="16"/>
        <v>#DIV/0!</v>
      </c>
    </row>
    <row r="399" spans="1:7" ht="12.75">
      <c r="A399" s="67" t="s">
        <v>125</v>
      </c>
      <c r="B399" s="56">
        <v>14311300</v>
      </c>
      <c r="C399" s="202"/>
      <c r="D399" s="202"/>
      <c r="E399" s="202">
        <v>1856.602</v>
      </c>
      <c r="F399" s="203">
        <f t="shared" si="15"/>
        <v>1856.602</v>
      </c>
      <c r="G399" s="338" t="e">
        <f t="shared" si="16"/>
        <v>#DIV/0!</v>
      </c>
    </row>
    <row r="400" spans="1:7" ht="12.75">
      <c r="A400" s="67" t="s">
        <v>33</v>
      </c>
      <c r="B400" s="56">
        <v>14311400</v>
      </c>
      <c r="C400" s="202"/>
      <c r="D400" s="202"/>
      <c r="E400" s="202">
        <v>53886.182</v>
      </c>
      <c r="F400" s="203">
        <f t="shared" si="15"/>
        <v>53886.182</v>
      </c>
      <c r="G400" s="338" t="e">
        <f t="shared" si="16"/>
        <v>#DIV/0!</v>
      </c>
    </row>
    <row r="401" spans="1:7" ht="12.75">
      <c r="A401" s="67" t="s">
        <v>126</v>
      </c>
      <c r="B401" s="56">
        <v>14311500</v>
      </c>
      <c r="C401" s="202"/>
      <c r="D401" s="202"/>
      <c r="E401" s="202">
        <v>13245.663</v>
      </c>
      <c r="F401" s="203">
        <f t="shared" si="15"/>
        <v>13245.663</v>
      </c>
      <c r="G401" s="338" t="e">
        <f t="shared" si="16"/>
        <v>#DIV/0!</v>
      </c>
    </row>
    <row r="402" spans="1:7" ht="12.75" hidden="1">
      <c r="A402" s="67" t="s">
        <v>540</v>
      </c>
      <c r="B402" s="56">
        <v>14311600</v>
      </c>
      <c r="C402" s="202"/>
      <c r="D402" s="202"/>
      <c r="E402" s="202"/>
      <c r="F402" s="203">
        <f t="shared" si="15"/>
        <v>0</v>
      </c>
      <c r="G402" s="338" t="e">
        <f t="shared" si="16"/>
        <v>#DIV/0!</v>
      </c>
    </row>
    <row r="403" spans="1:7" ht="12.75" customHeight="1">
      <c r="A403" s="66" t="s">
        <v>518</v>
      </c>
      <c r="B403" s="65">
        <v>144</v>
      </c>
      <c r="C403" s="344">
        <f>C404</f>
        <v>0</v>
      </c>
      <c r="D403" s="206">
        <f>D404</f>
        <v>30283.6</v>
      </c>
      <c r="E403" s="206">
        <f>E404</f>
        <v>900749.325</v>
      </c>
      <c r="F403" s="205">
        <f t="shared" si="15"/>
        <v>870465.725</v>
      </c>
      <c r="G403" s="342">
        <f t="shared" si="16"/>
        <v>2974.379944920683</v>
      </c>
    </row>
    <row r="404" spans="1:7" ht="12.75" customHeight="1">
      <c r="A404" s="66" t="s">
        <v>518</v>
      </c>
      <c r="B404" s="65">
        <v>1441</v>
      </c>
      <c r="C404" s="344">
        <f>C405+C407</f>
        <v>0</v>
      </c>
      <c r="D404" s="206">
        <f>D405+D407</f>
        <v>30283.6</v>
      </c>
      <c r="E404" s="206">
        <f>E405+E407</f>
        <v>900749.325</v>
      </c>
      <c r="F404" s="205">
        <f t="shared" si="15"/>
        <v>870465.725</v>
      </c>
      <c r="G404" s="342">
        <f t="shared" si="16"/>
        <v>2974.379944920683</v>
      </c>
    </row>
    <row r="405" spans="1:7" ht="12.75">
      <c r="A405" s="66" t="s">
        <v>66</v>
      </c>
      <c r="B405" s="65">
        <v>14411</v>
      </c>
      <c r="C405" s="344">
        <f>C406</f>
        <v>0</v>
      </c>
      <c r="D405" s="206">
        <f>D406</f>
        <v>30283.6</v>
      </c>
      <c r="E405" s="206">
        <f>E406</f>
        <v>890749.325</v>
      </c>
      <c r="F405" s="205">
        <f t="shared" si="15"/>
        <v>860465.725</v>
      </c>
      <c r="G405" s="342">
        <f t="shared" si="16"/>
        <v>2941.3587717444425</v>
      </c>
    </row>
    <row r="406" spans="1:7" ht="12.75">
      <c r="A406" s="67" t="s">
        <v>283</v>
      </c>
      <c r="B406" s="56">
        <v>14411100</v>
      </c>
      <c r="C406" s="208"/>
      <c r="D406" s="208">
        <v>30283.6</v>
      </c>
      <c r="E406" s="208">
        <v>890749.325</v>
      </c>
      <c r="F406" s="203">
        <f t="shared" si="15"/>
        <v>860465.725</v>
      </c>
      <c r="G406" s="338">
        <f t="shared" si="16"/>
        <v>2941.3587717444425</v>
      </c>
    </row>
    <row r="407" spans="1:7" ht="12.75">
      <c r="A407" s="66" t="s">
        <v>67</v>
      </c>
      <c r="B407" s="65">
        <v>14412</v>
      </c>
      <c r="C407" s="344">
        <f>C408</f>
        <v>0</v>
      </c>
      <c r="D407" s="344">
        <f>D408</f>
        <v>0</v>
      </c>
      <c r="E407" s="206">
        <f>E408</f>
        <v>10000</v>
      </c>
      <c r="F407" s="205">
        <f t="shared" si="15"/>
        <v>10000</v>
      </c>
      <c r="G407" s="342" t="e">
        <f t="shared" si="16"/>
        <v>#DIV/0!</v>
      </c>
    </row>
    <row r="408" spans="1:7" ht="12.75">
      <c r="A408" s="67" t="s">
        <v>284</v>
      </c>
      <c r="B408" s="56">
        <v>14412100</v>
      </c>
      <c r="C408" s="208"/>
      <c r="D408" s="208"/>
      <c r="E408" s="208">
        <v>10000</v>
      </c>
      <c r="F408" s="203">
        <f t="shared" si="15"/>
        <v>10000</v>
      </c>
      <c r="G408" s="338" t="e">
        <f t="shared" si="16"/>
        <v>#DIV/0!</v>
      </c>
    </row>
    <row r="409" spans="1:7" ht="12.75">
      <c r="A409" s="66" t="s">
        <v>127</v>
      </c>
      <c r="B409" s="65">
        <v>145</v>
      </c>
      <c r="C409" s="206">
        <f aca="true" t="shared" si="18" ref="C409:E410">C410</f>
        <v>3098314.5</v>
      </c>
      <c r="D409" s="206">
        <f t="shared" si="18"/>
        <v>8291651.899999999</v>
      </c>
      <c r="E409" s="206">
        <f t="shared" si="18"/>
        <v>7542080.507</v>
      </c>
      <c r="F409" s="205">
        <f t="shared" si="15"/>
        <v>-749571.3929999992</v>
      </c>
      <c r="G409" s="150">
        <f t="shared" si="16"/>
        <v>90.95992689948793</v>
      </c>
    </row>
    <row r="410" spans="1:7" ht="12.75">
      <c r="A410" s="66" t="s">
        <v>127</v>
      </c>
      <c r="B410" s="65">
        <v>1451</v>
      </c>
      <c r="C410" s="206">
        <f t="shared" si="18"/>
        <v>3098314.5</v>
      </c>
      <c r="D410" s="206">
        <f t="shared" si="18"/>
        <v>8291651.899999999</v>
      </c>
      <c r="E410" s="206">
        <f t="shared" si="18"/>
        <v>7542080.507</v>
      </c>
      <c r="F410" s="205">
        <f t="shared" si="15"/>
        <v>-749571.3929999992</v>
      </c>
      <c r="G410" s="150">
        <f t="shared" si="16"/>
        <v>90.95992689948793</v>
      </c>
    </row>
    <row r="411" spans="1:7" ht="12.75">
      <c r="A411" s="66" t="s">
        <v>127</v>
      </c>
      <c r="B411" s="65">
        <v>14511</v>
      </c>
      <c r="C411" s="206">
        <f>C412+C413+C414+C415</f>
        <v>3098314.5</v>
      </c>
      <c r="D411" s="206">
        <f>D412+D413+D414+D415</f>
        <v>8291651.899999999</v>
      </c>
      <c r="E411" s="206">
        <f>E412+E413+E414+E415</f>
        <v>7542080.507</v>
      </c>
      <c r="F411" s="205">
        <f t="shared" si="15"/>
        <v>-749571.3929999992</v>
      </c>
      <c r="G411" s="150">
        <f t="shared" si="16"/>
        <v>90.95992689948793</v>
      </c>
    </row>
    <row r="412" spans="1:7" ht="12.75">
      <c r="A412" s="67" t="s">
        <v>128</v>
      </c>
      <c r="B412" s="56">
        <v>14511100</v>
      </c>
      <c r="C412" s="208"/>
      <c r="D412" s="208">
        <v>5561743.1</v>
      </c>
      <c r="E412" s="208">
        <v>6473451.51</v>
      </c>
      <c r="F412" s="203">
        <f t="shared" si="15"/>
        <v>911708.4100000001</v>
      </c>
      <c r="G412" s="151">
        <f t="shared" si="16"/>
        <v>116.39249410854666</v>
      </c>
    </row>
    <row r="413" spans="1:7" ht="12.75">
      <c r="A413" s="67" t="s">
        <v>127</v>
      </c>
      <c r="B413" s="56">
        <v>14511200</v>
      </c>
      <c r="C413" s="208">
        <v>2966726.5</v>
      </c>
      <c r="D413" s="208">
        <v>2245969.9</v>
      </c>
      <c r="E413" s="208">
        <v>605430.234</v>
      </c>
      <c r="F413" s="203">
        <f t="shared" si="15"/>
        <v>-1640539.6659999997</v>
      </c>
      <c r="G413" s="151">
        <f t="shared" si="16"/>
        <v>26.956293314527503</v>
      </c>
    </row>
    <row r="414" spans="1:7" ht="12.75">
      <c r="A414" s="67" t="s">
        <v>76</v>
      </c>
      <c r="B414" s="56">
        <v>14511300</v>
      </c>
      <c r="C414" s="208"/>
      <c r="D414" s="208">
        <v>144902.8</v>
      </c>
      <c r="E414" s="208">
        <v>147442.465</v>
      </c>
      <c r="F414" s="203">
        <f t="shared" si="15"/>
        <v>2539.665000000008</v>
      </c>
      <c r="G414" s="151">
        <f t="shared" si="16"/>
        <v>101.75266799537346</v>
      </c>
    </row>
    <row r="415" spans="1:7" ht="12.75">
      <c r="A415" s="67" t="s">
        <v>441</v>
      </c>
      <c r="B415" s="56">
        <v>14511400</v>
      </c>
      <c r="C415" s="208">
        <v>131588</v>
      </c>
      <c r="D415" s="208">
        <v>339036.1</v>
      </c>
      <c r="E415" s="208">
        <v>315756.298</v>
      </c>
      <c r="F415" s="203">
        <f t="shared" si="15"/>
        <v>-23279.801999999967</v>
      </c>
      <c r="G415" s="151">
        <f t="shared" si="16"/>
        <v>93.13353297775664</v>
      </c>
    </row>
    <row r="416" spans="1:7" ht="12.75">
      <c r="A416" s="74" t="s">
        <v>129</v>
      </c>
      <c r="B416" s="74"/>
      <c r="C416" s="205">
        <f>C7</f>
        <v>126828552.6</v>
      </c>
      <c r="D416" s="205">
        <f>D7</f>
        <v>139889140.29999998</v>
      </c>
      <c r="E416" s="205">
        <f>E7</f>
        <v>134707341.414</v>
      </c>
      <c r="F416" s="205">
        <f t="shared" si="15"/>
        <v>-5181798.885999978</v>
      </c>
      <c r="G416" s="150">
        <f t="shared" si="16"/>
        <v>96.29578187778742</v>
      </c>
    </row>
  </sheetData>
  <sheetProtection/>
  <mergeCells count="5">
    <mergeCell ref="A5:A6"/>
    <mergeCell ref="B5:B6"/>
    <mergeCell ref="C5:G5"/>
    <mergeCell ref="A2:G2"/>
    <mergeCell ref="A3:G3"/>
  </mergeCells>
  <printOptions/>
  <pageMargins left="1.1811023622047245" right="0.1968503937007874" top="0.7086614173228347" bottom="0.5905511811023623" header="0.5118110236220472" footer="0.31496062992125984"/>
  <pageSetup firstPageNumber="100" useFirstPageNumber="1" horizontalDpi="600" verticalDpi="600" orientation="portrait" paperSize="9" scale="77" r:id="rId1"/>
  <headerFooter alignWithMargins="0"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Центральное Казначейство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t.omurova</dc:creator>
  <cp:keywords/>
  <dc:description/>
  <cp:lastModifiedBy>Umut M. Amanbaev</cp:lastModifiedBy>
  <cp:lastPrinted>2018-04-17T03:03:28Z</cp:lastPrinted>
  <dcterms:created xsi:type="dcterms:W3CDTF">1998-10-02T08:44:10Z</dcterms:created>
  <dcterms:modified xsi:type="dcterms:W3CDTF">2018-04-17T03:04:00Z</dcterms:modified>
  <cp:category/>
  <cp:version/>
  <cp:contentType/>
  <cp:contentStatus/>
</cp:coreProperties>
</file>